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55" windowHeight="8700" activeTab="0"/>
  </bookViews>
  <sheets>
    <sheet name="explosiegrenzen_mengsels" sheetId="1" r:id="rId1"/>
    <sheet name="LEL%_ppm" sheetId="2" r:id="rId2"/>
    <sheet name="ppm mg m3" sheetId="3" r:id="rId3"/>
    <sheet name="zoekform" sheetId="4" state="hidden" r:id="rId4"/>
  </sheets>
  <definedNames/>
  <calcPr fullCalcOnLoad="1"/>
</workbook>
</file>

<file path=xl/comments1.xml><?xml version="1.0" encoding="utf-8"?>
<comments xmlns="http://schemas.openxmlformats.org/spreadsheetml/2006/main">
  <authors>
    <author>J.Warta</author>
  </authors>
  <commentList>
    <comment ref="C5" authorId="0">
      <text>
        <r>
          <rPr>
            <b/>
            <sz val="8"/>
            <rFont val="Tahoma"/>
            <family val="0"/>
          </rPr>
          <t>J.Warta:</t>
        </r>
        <r>
          <rPr>
            <sz val="8"/>
            <rFont val="Tahoma"/>
            <family val="0"/>
          </rPr>
          <t xml:space="preserve">
het volumepercentage van de component in het totaal van brandbare gassen en dampen </t>
        </r>
      </text>
    </comment>
    <comment ref="D5" authorId="0">
      <text>
        <r>
          <rPr>
            <b/>
            <sz val="8"/>
            <rFont val="Tahoma"/>
            <family val="0"/>
          </rPr>
          <t>J.Warta:</t>
        </r>
        <r>
          <rPr>
            <sz val="8"/>
            <rFont val="Tahoma"/>
            <family val="0"/>
          </rPr>
          <t xml:space="preserve">
onderste explosiegrens van de component </t>
        </r>
      </text>
    </comment>
    <comment ref="E5" authorId="0">
      <text>
        <r>
          <rPr>
            <b/>
            <sz val="8"/>
            <rFont val="Tahoma"/>
            <family val="0"/>
          </rPr>
          <t>J.Warta:</t>
        </r>
        <r>
          <rPr>
            <sz val="8"/>
            <rFont val="Tahoma"/>
            <family val="0"/>
          </rPr>
          <t xml:space="preserve">
bovenste explosiegrens van de component </t>
        </r>
      </text>
    </comment>
  </commentList>
</comments>
</file>

<file path=xl/sharedStrings.xml><?xml version="1.0" encoding="utf-8"?>
<sst xmlns="http://schemas.openxmlformats.org/spreadsheetml/2006/main" count="106" uniqueCount="65">
  <si>
    <t>Stofnaam</t>
  </si>
  <si>
    <t>OEG</t>
  </si>
  <si>
    <t>BEG</t>
  </si>
  <si>
    <t>Ni/Li OEG</t>
  </si>
  <si>
    <t>Ni/Li BEG</t>
  </si>
  <si>
    <t>Li BEG</t>
  </si>
  <si>
    <t>Li OEG</t>
  </si>
  <si>
    <t>Ni (vol%)</t>
  </si>
  <si>
    <t>Som fracties</t>
  </si>
  <si>
    <t>stofnaam</t>
  </si>
  <si>
    <t>ammoniak</t>
  </si>
  <si>
    <t>N-aminoethylpiperazine (N-AEP)</t>
  </si>
  <si>
    <t>niet vastgesteld</t>
  </si>
  <si>
    <t>Ethyleendichloride (EDC)</t>
  </si>
  <si>
    <t>Vinylchloride</t>
  </si>
  <si>
    <t>nb</t>
  </si>
  <si>
    <t>Explosiegrenzen mengsel</t>
  </si>
  <si>
    <t>Omrekenen van % LEL naar ppm</t>
  </si>
  <si>
    <t>Waarde meter % LEL</t>
  </si>
  <si>
    <t>Vol %</t>
  </si>
  <si>
    <t>OEG van de stof</t>
  </si>
  <si>
    <t>Waarde stof</t>
  </si>
  <si>
    <t>Waarde stof  in ppm</t>
  </si>
  <si>
    <t>ppm</t>
  </si>
  <si>
    <t>Omrekenen van ppm naar Vol% en % LEL</t>
  </si>
  <si>
    <t>MAC Waarde</t>
  </si>
  <si>
    <t>Omgevingstemperatuur</t>
  </si>
  <si>
    <t>Graden Celsius</t>
  </si>
  <si>
    <t>Omrekenen van mg/m3 naar ppm</t>
  </si>
  <si>
    <t>mg/m3</t>
  </si>
  <si>
    <t>Molecuulmassa</t>
  </si>
  <si>
    <t>Omrekenen van ppm naar mg/m3</t>
  </si>
  <si>
    <t>Gele cellen zijn variabelen</t>
  </si>
  <si>
    <t>MAC ppm</t>
  </si>
  <si>
    <t>ber ppm</t>
  </si>
  <si>
    <t>ber mg/m3</t>
  </si>
  <si>
    <t>molmassa</t>
  </si>
  <si>
    <t>Graden Kelvin</t>
  </si>
  <si>
    <r>
      <t>mg/m</t>
    </r>
    <r>
      <rPr>
        <b/>
        <i/>
        <vertAlign val="subscript"/>
        <sz val="10"/>
        <rFont val="Arial"/>
        <family val="2"/>
      </rPr>
      <t>3</t>
    </r>
  </si>
  <si>
    <r>
      <t>C</t>
    </r>
    <r>
      <rPr>
        <vertAlign val="superscript"/>
        <sz val="10"/>
        <rFont val="Arial"/>
        <family val="2"/>
      </rPr>
      <t>o</t>
    </r>
  </si>
  <si>
    <t>↔</t>
  </si>
  <si>
    <t>ber ppm en ber mg/m3 niet corrigeerbaar</t>
  </si>
  <si>
    <t>of geef hieronder de gegevens in van elke willikeurige stof</t>
  </si>
  <si>
    <r>
      <t>mg/m</t>
    </r>
    <r>
      <rPr>
        <vertAlign val="subscript"/>
        <sz val="10"/>
        <rFont val="Arial"/>
        <family val="2"/>
      </rPr>
      <t>3</t>
    </r>
  </si>
  <si>
    <t>Ammoniak</t>
  </si>
  <si>
    <t>Ethyleendiamine (EDA)</t>
  </si>
  <si>
    <t>Diethyleentriamine (DETA)</t>
  </si>
  <si>
    <t>Piperazine (PIP)</t>
  </si>
  <si>
    <t>Triethyleentetramine (TETA)</t>
  </si>
  <si>
    <t>Aardgas</t>
  </si>
  <si>
    <t>Methaan</t>
  </si>
  <si>
    <t>Waterstof</t>
  </si>
  <si>
    <t>Methanol</t>
  </si>
  <si>
    <t>Koolmonoxide</t>
  </si>
  <si>
    <t>Monochloorazijnzuur (MCA)</t>
  </si>
  <si>
    <t>Methylamine (MMA)</t>
  </si>
  <si>
    <t>Dimethylamine (DMA)</t>
  </si>
  <si>
    <t>Trimethylamine (TMA)</t>
  </si>
  <si>
    <t>Ethyleenoxide (ETO)</t>
  </si>
  <si>
    <t>Aniline</t>
  </si>
  <si>
    <t>p-Xyleen</t>
  </si>
  <si>
    <t>Acetyleen</t>
  </si>
  <si>
    <t>Zwavelwaterstof</t>
  </si>
  <si>
    <t>Aceton</t>
  </si>
  <si>
    <t>Styreen</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</si>
</sst>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
    <numFmt numFmtId="173" formatCode="0.000"/>
    <numFmt numFmtId="174" formatCode="0.00000"/>
    <numFmt numFmtId="175" formatCode="0.0"/>
    <numFmt numFmtId="176" formatCode="0.0%"/>
    <numFmt numFmtId="177" formatCode="&quot;Ja&quot;;&quot;Ja&quot;;&quot;Nee&quot;"/>
    <numFmt numFmtId="178" formatCode="&quot;Waar&quot;;&quot;Waar&quot;;&quot;Niet waar&quot;"/>
    <numFmt numFmtId="179" formatCode="&quot;Aan&quot;;&quot;Aan&quot;;&quot;Uit&quot;"/>
    <numFmt numFmtId="180" formatCode="[$€-2]\ #.##000_);[Red]\([$€-2]\ #.##000\)"/>
    <numFmt numFmtId="181" formatCode="0.00000000"/>
    <numFmt numFmtId="182" formatCode="0.0000000"/>
    <numFmt numFmtId="183" formatCode="0.000000"/>
    <numFmt numFmtId="184" formatCode="&quot;fl&quot;\ #,##0_-;&quot;fl&quot;\ #,##0\-"/>
    <numFmt numFmtId="185" formatCode="&quot;fl&quot;\ #,##0_-;[Red]&quot;fl&quot;\ #,##0\-"/>
    <numFmt numFmtId="186" formatCode="&quot;fl&quot;\ #,##0.00_-;&quot;fl&quot;\ #,##0.00\-"/>
    <numFmt numFmtId="187" formatCode="&quot;fl&quot;\ #,##0.00_-;[Red]&quot;fl&quot;\ #,##0.00\-"/>
    <numFmt numFmtId="188" formatCode="_-&quot;fl&quot;\ * #,##0_-;_-&quot;fl&quot;\ * #,##0\-;_-&quot;fl&quot;\ * &quot;-&quot;_-;_-@_-"/>
    <numFmt numFmtId="189" formatCode="_-&quot;fl&quot;\ * #,##0.00_-;_-&quot;fl&quot;\ * #,##0.00\-;_-&quot;fl&quot;\ * &quot;-&quot;??_-;_-@_-"/>
    <numFmt numFmtId="190" formatCode="0.000000000"/>
    <numFmt numFmtId="191" formatCode="0.0000000000"/>
  </numFmts>
  <fonts count="54">
    <font>
      <sz val="10"/>
      <name val="Arial"/>
      <family val="0"/>
    </font>
    <font>
      <sz val="8"/>
      <name val="Tahoma"/>
      <family val="0"/>
    </font>
    <font>
      <b/>
      <sz val="8"/>
      <name val="Tahoma"/>
      <family val="0"/>
    </font>
    <font>
      <sz val="8"/>
      <name val="Arial"/>
      <family val="0"/>
    </font>
    <font>
      <b/>
      <i/>
      <sz val="10"/>
      <color indexed="10"/>
      <name val="Arial"/>
      <family val="2"/>
    </font>
    <font>
      <b/>
      <i/>
      <sz val="10"/>
      <name val="Arial"/>
      <family val="2"/>
    </font>
    <font>
      <u val="single"/>
      <sz val="10"/>
      <color indexed="36"/>
      <name val="Arial"/>
      <family val="0"/>
    </font>
    <font>
      <u val="single"/>
      <sz val="10"/>
      <color indexed="12"/>
      <name val="Arial"/>
      <family val="0"/>
    </font>
    <font>
      <b/>
      <sz val="10"/>
      <name val="Arial"/>
      <family val="2"/>
    </font>
    <font>
      <b/>
      <i/>
      <sz val="9"/>
      <name val="Arial"/>
      <family val="2"/>
    </font>
    <font>
      <b/>
      <i/>
      <sz val="10"/>
      <color indexed="62"/>
      <name val="Arial"/>
      <family val="2"/>
    </font>
    <font>
      <b/>
      <i/>
      <sz val="9"/>
      <color indexed="62"/>
      <name val="Arial"/>
      <family val="2"/>
    </font>
    <font>
      <b/>
      <sz val="11"/>
      <name val="Arial"/>
      <family val="2"/>
    </font>
    <font>
      <b/>
      <i/>
      <vertAlign val="subscript"/>
      <sz val="10"/>
      <name val="Arial"/>
      <family val="2"/>
    </font>
    <font>
      <vertAlign val="superscript"/>
      <sz val="10"/>
      <name val="Arial"/>
      <family val="2"/>
    </font>
    <font>
      <sz val="16"/>
      <name val="Arial"/>
      <family val="2"/>
    </font>
    <font>
      <vertAlign val="sub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8"/>
      <color indexed="8"/>
      <name val="Arial"/>
      <family val="0"/>
    </font>
    <font>
      <b/>
      <i/>
      <sz val="9"/>
      <color indexed="8"/>
      <name val="Arial"/>
      <family val="0"/>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thin">
        <color indexed="55"/>
      </top>
      <bottom style="thin">
        <color indexed="55"/>
      </bottom>
    </border>
    <border>
      <left>
        <color indexed="63"/>
      </left>
      <right>
        <color indexed="63"/>
      </right>
      <top style="thin">
        <color indexed="55"/>
      </top>
      <bottom>
        <color indexed="63"/>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6" fillId="0" borderId="0" applyNumberFormat="0" applyFill="0" applyBorder="0" applyAlignment="0" applyProtection="0"/>
    <xf numFmtId="0" fontId="41" fillId="28" borderId="0" applyNumberFormat="0" applyBorder="0" applyAlignment="0" applyProtection="0"/>
    <xf numFmtId="0" fontId="7" fillId="0" borderId="0" applyNumberFormat="0" applyFill="0" applyBorder="0" applyAlignment="0" applyProtection="0"/>
    <xf numFmtId="0" fontId="4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111">
    <xf numFmtId="0" fontId="0" fillId="0" borderId="0" xfId="0" applyAlignment="1">
      <alignment/>
    </xf>
    <xf numFmtId="2" fontId="0" fillId="0" borderId="0" xfId="0" applyNumberFormat="1" applyAlignment="1">
      <alignment/>
    </xf>
    <xf numFmtId="0" fontId="0" fillId="0" borderId="0" xfId="0" applyAlignment="1">
      <alignment horizontal="center"/>
    </xf>
    <xf numFmtId="0" fontId="5" fillId="0" borderId="0" xfId="0" applyFont="1" applyAlignment="1">
      <alignment horizontal="right"/>
    </xf>
    <xf numFmtId="0" fontId="0" fillId="0" borderId="0" xfId="0" applyAlignment="1">
      <alignment wrapText="1"/>
    </xf>
    <xf numFmtId="0" fontId="8" fillId="0" borderId="0" xfId="0" applyFont="1" applyAlignment="1">
      <alignment horizontal="center"/>
    </xf>
    <xf numFmtId="0" fontId="0" fillId="0" borderId="0" xfId="0" applyAlignment="1">
      <alignment horizontal="lef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0" fillId="0" borderId="11" xfId="0" applyBorder="1" applyAlignment="1">
      <alignment/>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hidden="1"/>
    </xf>
    <xf numFmtId="0" fontId="0" fillId="0" borderId="13" xfId="0" applyBorder="1" applyAlignment="1" applyProtection="1">
      <alignment horizontal="center"/>
      <protection hidden="1"/>
    </xf>
    <xf numFmtId="176" fontId="5" fillId="0" borderId="14" xfId="0" applyNumberFormat="1" applyFont="1" applyBorder="1" applyAlignment="1" applyProtection="1">
      <alignment horizontal="center"/>
      <protection hidden="1"/>
    </xf>
    <xf numFmtId="0" fontId="0" fillId="0" borderId="0" xfId="0" applyAlignment="1" applyProtection="1">
      <alignment/>
      <protection locked="0"/>
    </xf>
    <xf numFmtId="0" fontId="9" fillId="0" borderId="0" xfId="0" applyFont="1" applyFill="1" applyBorder="1" applyAlignment="1">
      <alignment/>
    </xf>
    <xf numFmtId="0" fontId="9" fillId="0" borderId="0" xfId="0" applyFont="1" applyBorder="1" applyAlignment="1">
      <alignment/>
    </xf>
    <xf numFmtId="0" fontId="5" fillId="0" borderId="0" xfId="0" applyFont="1" applyAlignment="1">
      <alignment horizontal="left"/>
    </xf>
    <xf numFmtId="0" fontId="9" fillId="0" borderId="0" xfId="0" applyFont="1" applyAlignment="1">
      <alignment/>
    </xf>
    <xf numFmtId="0" fontId="9" fillId="0" borderId="0" xfId="0" applyFont="1" applyAlignment="1">
      <alignment horizontal="right"/>
    </xf>
    <xf numFmtId="0" fontId="5" fillId="33" borderId="15" xfId="0" applyFont="1" applyFill="1" applyBorder="1" applyAlignment="1" applyProtection="1">
      <alignment horizontal="center"/>
      <protection locked="0"/>
    </xf>
    <xf numFmtId="0" fontId="5" fillId="34" borderId="15" xfId="0" applyFont="1" applyFill="1" applyBorder="1" applyAlignment="1" applyProtection="1">
      <alignment horizontal="center"/>
      <protection hidden="1"/>
    </xf>
    <xf numFmtId="0" fontId="5" fillId="34" borderId="15" xfId="0" applyNumberFormat="1" applyFont="1" applyFill="1" applyBorder="1" applyAlignment="1" applyProtection="1">
      <alignment horizontal="center"/>
      <protection hidden="1"/>
    </xf>
    <xf numFmtId="173" fontId="5" fillId="34" borderId="15" xfId="0" applyNumberFormat="1" applyFont="1" applyFill="1" applyBorder="1" applyAlignment="1" applyProtection="1">
      <alignment horizontal="center"/>
      <protection hidden="1"/>
    </xf>
    <xf numFmtId="0" fontId="4" fillId="0" borderId="0" xfId="0" applyFont="1" applyFill="1" applyAlignment="1">
      <alignment/>
    </xf>
    <xf numFmtId="0" fontId="9" fillId="0" borderId="0" xfId="0" applyFont="1" applyAlignment="1">
      <alignment horizontal="left"/>
    </xf>
    <xf numFmtId="0" fontId="9" fillId="0" borderId="0" xfId="0" applyFont="1" applyAlignment="1">
      <alignment horizontal="center"/>
    </xf>
    <xf numFmtId="172" fontId="5" fillId="34" borderId="15" xfId="0" applyNumberFormat="1" applyFont="1" applyFill="1" applyBorder="1" applyAlignment="1" applyProtection="1">
      <alignment horizontal="center"/>
      <protection hidden="1"/>
    </xf>
    <xf numFmtId="0" fontId="9" fillId="0" borderId="0" xfId="0" applyFont="1" applyFill="1" applyBorder="1" applyAlignment="1">
      <alignment horizontal="right"/>
    </xf>
    <xf numFmtId="0" fontId="0" fillId="0" borderId="16" xfId="0" applyBorder="1" applyAlignment="1">
      <alignment/>
    </xf>
    <xf numFmtId="0" fontId="0" fillId="0" borderId="16" xfId="0" applyBorder="1" applyAlignment="1" applyProtection="1">
      <alignment/>
      <protection locked="0"/>
    </xf>
    <xf numFmtId="0" fontId="0" fillId="0" borderId="16" xfId="0" applyBorder="1" applyAlignment="1" applyProtection="1">
      <alignment horizontal="left"/>
      <protection locked="0"/>
    </xf>
    <xf numFmtId="0" fontId="0" fillId="0" borderId="16" xfId="0" applyBorder="1" applyAlignment="1" applyProtection="1">
      <alignment horizontal="right"/>
      <protection locked="0"/>
    </xf>
    <xf numFmtId="0" fontId="0" fillId="0" borderId="16" xfId="0" applyFont="1" applyBorder="1" applyAlignment="1" applyProtection="1">
      <alignment/>
      <protection locked="0"/>
    </xf>
    <xf numFmtId="0" fontId="0" fillId="0" borderId="17" xfId="0" applyBorder="1" applyAlignment="1">
      <alignment/>
    </xf>
    <xf numFmtId="0" fontId="0" fillId="0" borderId="14" xfId="0" applyBorder="1" applyAlignment="1">
      <alignment/>
    </xf>
    <xf numFmtId="0" fontId="0" fillId="0" borderId="0" xfId="0" applyAlignment="1" applyProtection="1">
      <alignment/>
      <protection hidden="1"/>
    </xf>
    <xf numFmtId="0" fontId="0" fillId="35" borderId="10" xfId="0" applyFill="1" applyBorder="1" applyAlignment="1">
      <alignment/>
    </xf>
    <xf numFmtId="0" fontId="0" fillId="35" borderId="17" xfId="0" applyFill="1" applyBorder="1" applyAlignment="1">
      <alignment/>
    </xf>
    <xf numFmtId="0" fontId="0" fillId="35" borderId="14" xfId="0"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3" borderId="21" xfId="0" applyFill="1" applyBorder="1" applyAlignment="1" applyProtection="1">
      <alignment/>
      <protection locked="0"/>
    </xf>
    <xf numFmtId="0" fontId="0" fillId="0" borderId="0" xfId="0" applyBorder="1" applyAlignment="1">
      <alignment/>
    </xf>
    <xf numFmtId="2" fontId="0" fillId="34" borderId="15" xfId="0" applyNumberFormat="1" applyFill="1" applyBorder="1" applyAlignment="1" applyProtection="1">
      <alignment/>
      <protection hidden="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right"/>
    </xf>
    <xf numFmtId="0" fontId="0" fillId="33" borderId="26" xfId="0" applyFill="1" applyBorder="1" applyAlignment="1" applyProtection="1">
      <alignment/>
      <protection locked="0"/>
    </xf>
    <xf numFmtId="0" fontId="0" fillId="0" borderId="25" xfId="0" applyBorder="1" applyAlignment="1">
      <alignment/>
    </xf>
    <xf numFmtId="0" fontId="0" fillId="0" borderId="27" xfId="0" applyBorder="1" applyAlignment="1">
      <alignment/>
    </xf>
    <xf numFmtId="0" fontId="12" fillId="0" borderId="0" xfId="0" applyFont="1" applyAlignment="1">
      <alignment/>
    </xf>
    <xf numFmtId="0" fontId="4" fillId="0" borderId="0" xfId="0" applyFont="1" applyAlignment="1" applyProtection="1">
      <alignment horizontal="left"/>
      <protection hidden="1"/>
    </xf>
    <xf numFmtId="0" fontId="0" fillId="33" borderId="10" xfId="0" applyFill="1" applyBorder="1" applyAlignment="1">
      <alignment/>
    </xf>
    <xf numFmtId="0" fontId="0" fillId="33" borderId="17" xfId="0" applyFill="1" applyBorder="1" applyAlignment="1">
      <alignment/>
    </xf>
    <xf numFmtId="0" fontId="0" fillId="33" borderId="14" xfId="0" applyFill="1" applyBorder="1" applyAlignment="1">
      <alignment/>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ill="1" applyBorder="1" applyAlignment="1">
      <alignment horizontal="center"/>
    </xf>
    <xf numFmtId="0" fontId="0" fillId="0" borderId="0" xfId="0" applyFill="1" applyBorder="1" applyAlignment="1" applyProtection="1">
      <alignment/>
      <protection hidden="1"/>
    </xf>
    <xf numFmtId="0" fontId="0" fillId="0" borderId="0" xfId="0" applyFill="1" applyBorder="1" applyAlignment="1">
      <alignment horizontal="left"/>
    </xf>
    <xf numFmtId="2" fontId="0" fillId="0" borderId="0" xfId="0" applyNumberFormat="1" applyFill="1" applyBorder="1" applyAlignment="1" applyProtection="1">
      <alignment/>
      <protection hidden="1"/>
    </xf>
    <xf numFmtId="0" fontId="0" fillId="0" borderId="0" xfId="0" applyFill="1" applyBorder="1" applyAlignment="1">
      <alignment horizontal="right"/>
    </xf>
    <xf numFmtId="0" fontId="0" fillId="0" borderId="28" xfId="0" applyFill="1" applyBorder="1" applyAlignment="1" applyProtection="1">
      <alignment/>
      <protection hidden="1"/>
    </xf>
    <xf numFmtId="0" fontId="0" fillId="0" borderId="29" xfId="0" applyFill="1" applyBorder="1" applyAlignment="1" applyProtection="1">
      <alignment horizontal="left"/>
      <protection hidden="1"/>
    </xf>
    <xf numFmtId="0" fontId="0" fillId="0" borderId="30" xfId="0" applyFill="1" applyBorder="1" applyAlignment="1" applyProtection="1">
      <alignment/>
      <protection hidden="1"/>
    </xf>
    <xf numFmtId="0" fontId="0" fillId="0" borderId="31" xfId="0" applyBorder="1" applyAlignment="1" applyProtection="1">
      <alignment/>
      <protection hidden="1"/>
    </xf>
    <xf numFmtId="0" fontId="0" fillId="0" borderId="32" xfId="0" applyFill="1" applyBorder="1" applyAlignment="1" applyProtection="1">
      <alignment/>
      <protection hidden="1"/>
    </xf>
    <xf numFmtId="0" fontId="0" fillId="0" borderId="33" xfId="0" applyBorder="1" applyAlignment="1" applyProtection="1">
      <alignment/>
      <protection hidden="1"/>
    </xf>
    <xf numFmtId="0" fontId="0" fillId="0" borderId="34" xfId="0" applyFill="1" applyBorder="1" applyAlignment="1" applyProtection="1">
      <alignment/>
      <protection hidden="1"/>
    </xf>
    <xf numFmtId="0" fontId="0" fillId="0" borderId="35" xfId="0" applyBorder="1" applyAlignment="1" applyProtection="1">
      <alignment/>
      <protection hidden="1"/>
    </xf>
    <xf numFmtId="2" fontId="0" fillId="0" borderId="16" xfId="0" applyNumberFormat="1" applyFill="1" applyBorder="1" applyAlignment="1" applyProtection="1">
      <alignment/>
      <protection hidden="1"/>
    </xf>
    <xf numFmtId="1" fontId="0" fillId="0" borderId="16" xfId="0" applyNumberFormat="1" applyFill="1" applyBorder="1" applyAlignment="1" applyProtection="1">
      <alignment/>
      <protection hidden="1"/>
    </xf>
    <xf numFmtId="2" fontId="5" fillId="34" borderId="15" xfId="0" applyNumberFormat="1" applyFont="1" applyFill="1" applyBorder="1" applyAlignment="1" applyProtection="1">
      <alignment horizontal="center"/>
      <protection hidden="1"/>
    </xf>
    <xf numFmtId="0" fontId="0" fillId="33" borderId="0" xfId="0" applyFill="1" applyBorder="1" applyAlignment="1" applyProtection="1">
      <alignment/>
      <protection locked="0"/>
    </xf>
    <xf numFmtId="0" fontId="0" fillId="0" borderId="0" xfId="0" applyBorder="1" applyAlignment="1">
      <alignment horizontal="right"/>
    </xf>
    <xf numFmtId="0" fontId="0" fillId="0" borderId="0" xfId="0" applyBorder="1" applyAlignment="1" applyProtection="1">
      <alignment/>
      <protection hidden="1"/>
    </xf>
    <xf numFmtId="0" fontId="15" fillId="0" borderId="0" xfId="0" applyFont="1" applyBorder="1" applyAlignment="1">
      <alignment horizontal="center"/>
    </xf>
    <xf numFmtId="0" fontId="0" fillId="35" borderId="29" xfId="0" applyFill="1" applyBorder="1" applyAlignment="1">
      <alignment/>
    </xf>
    <xf numFmtId="0" fontId="0" fillId="35" borderId="30" xfId="0" applyFill="1" applyBorder="1" applyAlignment="1">
      <alignment/>
    </xf>
    <xf numFmtId="0" fontId="0" fillId="35" borderId="31" xfId="0" applyFill="1" applyBorder="1" applyAlignment="1">
      <alignment/>
    </xf>
    <xf numFmtId="0" fontId="0" fillId="0" borderId="34" xfId="0" applyBorder="1" applyAlignment="1">
      <alignment/>
    </xf>
    <xf numFmtId="0" fontId="15" fillId="0" borderId="34" xfId="0" applyFont="1" applyBorder="1" applyAlignment="1">
      <alignment horizontal="center"/>
    </xf>
    <xf numFmtId="2" fontId="0" fillId="34" borderId="34" xfId="0" applyNumberFormat="1" applyFill="1" applyBorder="1" applyAlignment="1" applyProtection="1">
      <alignment/>
      <protection hidden="1"/>
    </xf>
    <xf numFmtId="0" fontId="0" fillId="0" borderId="35" xfId="0" applyBorder="1" applyAlignment="1">
      <alignment/>
    </xf>
    <xf numFmtId="0" fontId="0" fillId="0" borderId="32" xfId="0" applyBorder="1" applyAlignment="1">
      <alignment/>
    </xf>
    <xf numFmtId="0" fontId="0" fillId="0" borderId="33" xfId="0" applyBorder="1" applyAlignment="1">
      <alignment/>
    </xf>
    <xf numFmtId="0" fontId="0" fillId="0" borderId="28" xfId="0" applyBorder="1" applyAlignment="1">
      <alignment/>
    </xf>
    <xf numFmtId="0" fontId="0" fillId="0" borderId="34" xfId="0" applyBorder="1" applyAlignment="1">
      <alignment horizontal="right"/>
    </xf>
    <xf numFmtId="2" fontId="0" fillId="33" borderId="28" xfId="0" applyNumberFormat="1" applyFill="1" applyBorder="1" applyAlignment="1" applyProtection="1">
      <alignment/>
      <protection locked="0"/>
    </xf>
    <xf numFmtId="0" fontId="8" fillId="34" borderId="0" xfId="0" applyFont="1" applyFill="1" applyAlignment="1">
      <alignment horizontal="center"/>
    </xf>
    <xf numFmtId="0" fontId="0" fillId="33" borderId="10" xfId="0" applyFill="1" applyBorder="1" applyAlignment="1" applyProtection="1">
      <alignment/>
      <protection locked="0"/>
    </xf>
    <xf numFmtId="0" fontId="5" fillId="0" borderId="0" xfId="0" applyFont="1" applyFill="1" applyBorder="1" applyAlignment="1">
      <alignment/>
    </xf>
    <xf numFmtId="0" fontId="0" fillId="0" borderId="0" xfId="0" applyFill="1" applyBorder="1" applyAlignment="1">
      <alignment/>
    </xf>
    <xf numFmtId="0" fontId="0" fillId="0" borderId="15" xfId="0" applyFont="1" applyBorder="1" applyAlignment="1">
      <alignment horizontal="left" vertical="center"/>
    </xf>
    <xf numFmtId="0" fontId="5" fillId="33" borderId="10" xfId="0"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0" fontId="5" fillId="33" borderId="14" xfId="0" applyFont="1" applyFill="1" applyBorder="1" applyAlignment="1" applyProtection="1">
      <alignment horizontal="center"/>
      <protection locked="0"/>
    </xf>
    <xf numFmtId="0" fontId="5" fillId="0" borderId="10" xfId="0" applyFont="1" applyBorder="1" applyAlignment="1">
      <alignment horizontal="center"/>
    </xf>
    <xf numFmtId="0" fontId="5" fillId="0" borderId="14" xfId="0" applyFont="1" applyBorder="1" applyAlignment="1">
      <alignment horizontal="center"/>
    </xf>
    <xf numFmtId="2" fontId="5" fillId="34" borderId="15" xfId="0" applyNumberFormat="1" applyFont="1" applyFill="1" applyBorder="1" applyAlignment="1" applyProtection="1">
      <alignment horizontal="center" vertical="center"/>
      <protection hidden="1"/>
    </xf>
    <xf numFmtId="0" fontId="9" fillId="0" borderId="15" xfId="0" applyFont="1" applyFill="1" applyBorder="1" applyAlignment="1">
      <alignment horizontal="center"/>
    </xf>
    <xf numFmtId="0" fontId="9" fillId="35" borderId="15" xfId="0" applyFont="1" applyFill="1" applyBorder="1" applyAlignment="1" applyProtection="1">
      <alignment horizontal="center"/>
      <protection hidden="1"/>
    </xf>
    <xf numFmtId="0" fontId="9" fillId="35" borderId="29" xfId="0" applyFont="1" applyFill="1" applyBorder="1" applyAlignment="1" applyProtection="1">
      <alignment horizontal="center"/>
      <protection hidden="1"/>
    </xf>
    <xf numFmtId="0" fontId="9" fillId="35" borderId="30" xfId="0" applyFont="1" applyFill="1" applyBorder="1" applyAlignment="1" applyProtection="1">
      <alignment horizontal="center"/>
      <protection hidden="1"/>
    </xf>
    <xf numFmtId="0" fontId="9" fillId="35" borderId="31" xfId="0"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47625</xdr:colOff>
      <xdr:row>0</xdr:row>
      <xdr:rowOff>114300</xdr:rowOff>
    </xdr:from>
    <xdr:ext cx="3962400" cy="4105275"/>
    <xdr:sp>
      <xdr:nvSpPr>
        <xdr:cNvPr id="1" name="Text Box 1"/>
        <xdr:cNvSpPr txBox="1">
          <a:spLocks noChangeArrowheads="1"/>
        </xdr:cNvSpPr>
      </xdr:nvSpPr>
      <xdr:spPr>
        <a:xfrm>
          <a:off x="4162425" y="114300"/>
          <a:ext cx="3962400" cy="4105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Explosiegrenzen
</a:t>
          </a:r>
          <a:r>
            <a:rPr lang="en-US" cap="none" sz="800" b="0" i="0" u="none" baseline="0">
              <a:solidFill>
                <a:srgbClr val="000000"/>
              </a:solidFill>
              <a:latin typeface="Arial"/>
              <a:ea typeface="Arial"/>
              <a:cs typeface="Arial"/>
            </a:rPr>
            <a:t>Er bestaan twee explosiegrenzen: de onderste en de bovenste explosiegrens.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 onderste explosiegrens (OEG, Lower Explosion Limit, LEL) is de kleinste hoeveelheid brandbare stof in de lucht waarbij een explosief mengsel wordt gevormd.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 bovenste explosiegrens (BEG, Upper Explosion Limit, UEL) is de grootste hoeveelheid brandbare stof in de lucht waarbij nog een explosief mengsel wordt gevormd.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 explosiegrenzen worden in volumeprocenten (vol-%) weergegeven. Explosiegrenzen van brandbare stoffen zijn te vinden in Veiligheidsinformatiebladen en op chemiekaarten. Bij mengsels van gassen of dampen moet worden uitgegaan van het grootste risico. Daarvoor zal een vergelijking gemaakt moeten worden tussen de hoeveelheden van de verschillende stoffen en de bijhorende explosiegrenzen. Ook kan de explosiegrens van het mengsel worden berekend uit de formule (uit NPR 7910-1):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100/L = </a:t>
          </a:r>
          <a:r>
            <a:rPr lang="en-US" cap="none" sz="800" b="0" i="0" u="none" baseline="0">
              <a:solidFill>
                <a:srgbClr val="000000"/>
              </a:solidFill>
              <a:latin typeface="Arial"/>
              <a:ea typeface="Arial"/>
              <a:cs typeface="Arial"/>
            </a:rPr>
            <a:t>Σ </a:t>
          </a:r>
          <a:r>
            <a:rPr lang="en-US" cap="none" sz="800" b="0" i="0" u="none" baseline="0">
              <a:solidFill>
                <a:srgbClr val="000000"/>
              </a:solidFill>
              <a:latin typeface="Arial"/>
              <a:ea typeface="Arial"/>
              <a:cs typeface="Arial"/>
            </a:rPr>
            <a:t>Ni/Li = N1/L1 + N2/L2 + N3/L3 +...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waarbij
</a:t>
          </a:r>
          <a:r>
            <a:rPr lang="en-US" cap="none" sz="800" b="0" i="0" u="none" baseline="0">
              <a:solidFill>
                <a:srgbClr val="000000"/>
              </a:solidFill>
              <a:latin typeface="Arial"/>
              <a:ea typeface="Arial"/>
              <a:cs typeface="Arial"/>
            </a:rPr>
            <a:t>L explosiegrens van het mengsel, in vol-%  
</a:t>
          </a:r>
          <a:r>
            <a:rPr lang="en-US" cap="none" sz="800" b="0" i="0" u="none" baseline="0">
              <a:solidFill>
                <a:srgbClr val="000000"/>
              </a:solidFill>
              <a:latin typeface="Arial"/>
              <a:ea typeface="Arial"/>
              <a:cs typeface="Arial"/>
            </a:rPr>
            <a:t>Li explosiegrens van de component 
</a:t>
          </a:r>
          <a:r>
            <a:rPr lang="en-US" cap="none" sz="800" b="0" i="0" u="none" baseline="0">
              <a:solidFill>
                <a:srgbClr val="000000"/>
              </a:solidFill>
              <a:latin typeface="Arial"/>
              <a:ea typeface="Arial"/>
              <a:cs typeface="Arial"/>
            </a:rPr>
            <a:t>Ni het volumepercentage van de component in het totaal van brandbare gassen en dampen 
</a:t>
          </a:r>
        </a:p>
      </xdr:txBody>
    </xdr:sp>
    <xdr:clientData/>
  </xdr:oneCellAnchor>
  <xdr:twoCellAnchor>
    <xdr:from>
      <xdr:col>1</xdr:col>
      <xdr:colOff>57150</xdr:colOff>
      <xdr:row>1</xdr:row>
      <xdr:rowOff>66675</xdr:rowOff>
    </xdr:from>
    <xdr:to>
      <xdr:col>7</xdr:col>
      <xdr:colOff>314325</xdr:colOff>
      <xdr:row>3</xdr:row>
      <xdr:rowOff>104775</xdr:rowOff>
    </xdr:to>
    <xdr:sp>
      <xdr:nvSpPr>
        <xdr:cNvPr id="2" name="WordArt 16"/>
        <xdr:cNvSpPr>
          <a:spLocks/>
        </xdr:cNvSpPr>
      </xdr:nvSpPr>
      <xdr:spPr>
        <a:xfrm>
          <a:off x="57150" y="228600"/>
          <a:ext cx="3762375" cy="361950"/>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339966"/>
              </a:solidFill>
              <a:latin typeface="Arial Black"/>
              <a:cs typeface="Arial Black"/>
            </a:rPr>
            <a:t>Explosiegrenzen mengsels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4</xdr:row>
      <xdr:rowOff>9525</xdr:rowOff>
    </xdr:from>
    <xdr:to>
      <xdr:col>6</xdr:col>
      <xdr:colOff>533400</xdr:colOff>
      <xdr:row>6</xdr:row>
      <xdr:rowOff>9525</xdr:rowOff>
    </xdr:to>
    <xdr:sp>
      <xdr:nvSpPr>
        <xdr:cNvPr id="1" name="AutoShape 2"/>
        <xdr:cNvSpPr>
          <a:spLocks/>
        </xdr:cNvSpPr>
      </xdr:nvSpPr>
      <xdr:spPr>
        <a:xfrm>
          <a:off x="3533775" y="495300"/>
          <a:ext cx="2000250" cy="323850"/>
        </a:xfrm>
        <a:prstGeom prst="leftArrow">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1" u="none" baseline="0">
              <a:solidFill>
                <a:srgbClr val="000000"/>
              </a:solidFill>
              <a:latin typeface="Arial"/>
              <a:ea typeface="Arial"/>
              <a:cs typeface="Arial"/>
            </a:rPr>
            <a:t>kies de stof waar  het om gaat.</a:t>
          </a:r>
        </a:p>
      </xdr:txBody>
    </xdr:sp>
    <xdr:clientData fPrintsWithSheet="0"/>
  </xdr:twoCellAnchor>
  <xdr:twoCellAnchor>
    <xdr:from>
      <xdr:col>3</xdr:col>
      <xdr:colOff>371475</xdr:colOff>
      <xdr:row>7</xdr:row>
      <xdr:rowOff>85725</xdr:rowOff>
    </xdr:from>
    <xdr:to>
      <xdr:col>6</xdr:col>
      <xdr:colOff>533400</xdr:colOff>
      <xdr:row>9</xdr:row>
      <xdr:rowOff>85725</xdr:rowOff>
    </xdr:to>
    <xdr:sp>
      <xdr:nvSpPr>
        <xdr:cNvPr id="2" name="AutoShape 3"/>
        <xdr:cNvSpPr>
          <a:spLocks/>
        </xdr:cNvSpPr>
      </xdr:nvSpPr>
      <xdr:spPr>
        <a:xfrm>
          <a:off x="3533775" y="1057275"/>
          <a:ext cx="2000250" cy="323850"/>
        </a:xfrm>
        <a:prstGeom prst="leftArrow">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1" u="none" baseline="0">
              <a:solidFill>
                <a:srgbClr val="000000"/>
              </a:solidFill>
              <a:latin typeface="Arial"/>
              <a:ea typeface="Arial"/>
              <a:cs typeface="Arial"/>
            </a:rPr>
            <a:t>Voer de meetwaarde in (LEL).</a:t>
          </a:r>
        </a:p>
      </xdr:txBody>
    </xdr:sp>
    <xdr:clientData fPrintsWithSheet="0"/>
  </xdr:twoCellAnchor>
  <xdr:twoCellAnchor>
    <xdr:from>
      <xdr:col>3</xdr:col>
      <xdr:colOff>361950</xdr:colOff>
      <xdr:row>14</xdr:row>
      <xdr:rowOff>85725</xdr:rowOff>
    </xdr:from>
    <xdr:to>
      <xdr:col>6</xdr:col>
      <xdr:colOff>514350</xdr:colOff>
      <xdr:row>16</xdr:row>
      <xdr:rowOff>85725</xdr:rowOff>
    </xdr:to>
    <xdr:sp>
      <xdr:nvSpPr>
        <xdr:cNvPr id="3" name="AutoShape 4"/>
        <xdr:cNvSpPr>
          <a:spLocks/>
        </xdr:cNvSpPr>
      </xdr:nvSpPr>
      <xdr:spPr>
        <a:xfrm>
          <a:off x="3524250" y="2190750"/>
          <a:ext cx="1990725" cy="323850"/>
        </a:xfrm>
        <a:prstGeom prst="leftArrow">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1" u="none" baseline="0">
              <a:solidFill>
                <a:srgbClr val="000000"/>
              </a:solidFill>
              <a:latin typeface="Arial"/>
              <a:ea typeface="Arial"/>
              <a:cs typeface="Arial"/>
            </a:rPr>
            <a:t>voer de meetwaarde in (ppm).</a:t>
          </a:r>
        </a:p>
      </xdr:txBody>
    </xdr:sp>
    <xdr:clientData fPrintsWithSheet="0"/>
  </xdr:twoCellAnchor>
  <xdr:twoCellAnchor>
    <xdr:from>
      <xdr:col>1</xdr:col>
      <xdr:colOff>352425</xdr:colOff>
      <xdr:row>1</xdr:row>
      <xdr:rowOff>133350</xdr:rowOff>
    </xdr:from>
    <xdr:to>
      <xdr:col>3</xdr:col>
      <xdr:colOff>180975</xdr:colOff>
      <xdr:row>3</xdr:row>
      <xdr:rowOff>123825</xdr:rowOff>
    </xdr:to>
    <xdr:sp>
      <xdr:nvSpPr>
        <xdr:cNvPr id="4" name="WordArt 5"/>
        <xdr:cNvSpPr>
          <a:spLocks/>
        </xdr:cNvSpPr>
      </xdr:nvSpPr>
      <xdr:spPr>
        <a:xfrm>
          <a:off x="962025" y="133350"/>
          <a:ext cx="2381250" cy="314325"/>
        </a:xfrm>
        <a:prstGeom prst="rect"/>
        <a:noFill/>
      </xdr:spPr>
      <xdr:txBody>
        <a:bodyPr fromWordArt="1" wrap="none" lIns="91440" tIns="45720" rIns="91440" bIns="45720">
          <a:prstTxWarp prst="textPlain"/>
        </a:bodyPr>
        <a:p>
          <a:pPr algn="ctr"/>
          <a:r>
            <a:rPr sz="1800" i="1" kern="10" spc="0">
              <a:ln w="9525" cmpd="sng">
                <a:solidFill>
                  <a:srgbClr val="000000"/>
                </a:solidFill>
                <a:headEnd type="none"/>
                <a:tailEnd type="none"/>
              </a:ln>
              <a:solidFill>
                <a:srgbClr val="339966"/>
              </a:solidFill>
              <a:latin typeface="Arial Black"/>
              <a:cs typeface="Arial Black"/>
            </a:rPr>
            <a:t>%LEL, OEG en ppm</a:t>
          </a:r>
        </a:p>
      </xdr:txBody>
    </xdr:sp>
    <xdr:clientData/>
  </xdr:twoCellAnchor>
  <xdr:twoCellAnchor>
    <xdr:from>
      <xdr:col>2</xdr:col>
      <xdr:colOff>1619250</xdr:colOff>
      <xdr:row>24</xdr:row>
      <xdr:rowOff>0</xdr:rowOff>
    </xdr:from>
    <xdr:to>
      <xdr:col>6</xdr:col>
      <xdr:colOff>152400</xdr:colOff>
      <xdr:row>26</xdr:row>
      <xdr:rowOff>0</xdr:rowOff>
    </xdr:to>
    <xdr:sp>
      <xdr:nvSpPr>
        <xdr:cNvPr id="5" name="WordArt 6"/>
        <xdr:cNvSpPr>
          <a:spLocks/>
        </xdr:cNvSpPr>
      </xdr:nvSpPr>
      <xdr:spPr>
        <a:xfrm>
          <a:off x="2838450" y="3762375"/>
          <a:ext cx="2314575" cy="323850"/>
        </a:xfrm>
        <a:prstGeom prst="rect"/>
        <a:noFill/>
      </xdr:spPr>
      <xdr:txBody>
        <a:bodyPr fromWordArt="1" wrap="none" lIns="91440" tIns="45720" rIns="91440" bIns="45720">
          <a:prstTxWarp prst="textPlain"/>
        </a:bodyPr>
        <a:p>
          <a:pPr algn="ctr"/>
          <a:r>
            <a:rPr sz="1800" i="1" kern="10" spc="0">
              <a:ln w="9525" cmpd="sng">
                <a:solidFill>
                  <a:srgbClr val="000000"/>
                </a:solidFill>
                <a:headEnd type="none"/>
                <a:tailEnd type="none"/>
              </a:ln>
              <a:solidFill>
                <a:srgbClr val="008000"/>
              </a:solidFill>
              <a:latin typeface="Arial Black"/>
              <a:cs typeface="Arial Black"/>
            </a:rPr>
            <a:t>1 Vol%=10000ppm</a:t>
          </a:r>
        </a:p>
      </xdr:txBody>
    </xdr:sp>
    <xdr:clientData/>
  </xdr:twoCellAnchor>
  <xdr:twoCellAnchor>
    <xdr:from>
      <xdr:col>0</xdr:col>
      <xdr:colOff>57150</xdr:colOff>
      <xdr:row>24</xdr:row>
      <xdr:rowOff>0</xdr:rowOff>
    </xdr:from>
    <xdr:to>
      <xdr:col>2</xdr:col>
      <xdr:colOff>1276350</xdr:colOff>
      <xdr:row>25</xdr:row>
      <xdr:rowOff>123825</xdr:rowOff>
    </xdr:to>
    <xdr:sp>
      <xdr:nvSpPr>
        <xdr:cNvPr id="6" name="WordArt 7"/>
        <xdr:cNvSpPr>
          <a:spLocks/>
        </xdr:cNvSpPr>
      </xdr:nvSpPr>
      <xdr:spPr>
        <a:xfrm>
          <a:off x="57150" y="3762375"/>
          <a:ext cx="2438400" cy="285750"/>
        </a:xfrm>
        <a:prstGeom prst="rect"/>
        <a:noFill/>
      </xdr:spPr>
      <xdr:txBody>
        <a:bodyPr fromWordArt="1" wrap="none" lIns="91440" tIns="45720" rIns="91440" bIns="45720">
          <a:prstTxWarp prst="textPlain"/>
        </a:bodyPr>
        <a:p>
          <a:pPr algn="ctr"/>
          <a:r>
            <a:rPr sz="1600" i="1" kern="10" spc="0">
              <a:ln w="9525" cmpd="sng">
                <a:solidFill>
                  <a:srgbClr val="000000"/>
                </a:solidFill>
                <a:headEnd type="none"/>
                <a:tailEnd type="none"/>
              </a:ln>
              <a:solidFill>
                <a:srgbClr val="008000"/>
              </a:solidFill>
              <a:latin typeface="Arial Black"/>
              <a:cs typeface="Arial Black"/>
            </a:rPr>
            <a:t>100%LEL=OEG vd stof</a:t>
          </a:r>
        </a:p>
      </xdr:txBody>
    </xdr:sp>
    <xdr:clientData/>
  </xdr:twoCellAnchor>
  <xdr:oneCellAnchor>
    <xdr:from>
      <xdr:col>7</xdr:col>
      <xdr:colOff>0</xdr:colOff>
      <xdr:row>1</xdr:row>
      <xdr:rowOff>114300</xdr:rowOff>
    </xdr:from>
    <xdr:ext cx="2695575" cy="3581400"/>
    <xdr:sp>
      <xdr:nvSpPr>
        <xdr:cNvPr id="7" name="Text Box 8"/>
        <xdr:cNvSpPr txBox="1">
          <a:spLocks noChangeArrowheads="1"/>
        </xdr:cNvSpPr>
      </xdr:nvSpPr>
      <xdr:spPr>
        <a:xfrm>
          <a:off x="5610225" y="114300"/>
          <a:ext cx="2695575" cy="3581400"/>
        </a:xfrm>
        <a:prstGeom prst="rect">
          <a:avLst/>
        </a:prstGeom>
        <a:solidFill>
          <a:srgbClr val="FFFFFF"/>
        </a:solidFill>
        <a:ln w="9525" cmpd="sng">
          <a:solidFill>
            <a:srgbClr val="008080"/>
          </a:solidFill>
          <a:headEnd type="none"/>
          <a:tailEnd type="none"/>
        </a:ln>
      </xdr:spPr>
      <xdr:txBody>
        <a:bodyPr vertOverflow="clip" wrap="square" lIns="27432" tIns="22860" rIns="0" bIns="0"/>
        <a:p>
          <a:pPr algn="l">
            <a:defRPr/>
          </a:pPr>
          <a:r>
            <a:rPr lang="en-US" cap="none" sz="900" b="1" i="1" u="none" baseline="0">
              <a:solidFill>
                <a:srgbClr val="000000"/>
              </a:solidFill>
              <a:latin typeface="Arial"/>
              <a:ea typeface="Arial"/>
              <a:cs typeface="Arial"/>
            </a:rPr>
            <a:t>Procenten LEL worden gebruikt binnen het bereik van de volume percentage. En wel zo, dat de laagste concentratie waarbij een gas of damp in lucht explosief is, 100 % LEL wordt genoemd. De zgn. "onderste explosiegrens" (OEG).
</a:t>
          </a:r>
          <a:r>
            <a:rPr lang="en-US" cap="none" sz="900" b="1" i="1" u="none" baseline="0">
              <a:solidFill>
                <a:srgbClr val="000000"/>
              </a:solidFill>
              <a:latin typeface="Arial"/>
              <a:ea typeface="Arial"/>
              <a:cs typeface="Arial"/>
            </a:rPr>
            <a:t>Dit punt (OEG) ligt bij de volgende stoffen op "x" van het volume percentage in lucht:
</a:t>
          </a:r>
          <a:r>
            <a:rPr lang="en-US" cap="none" sz="900" b="1" i="1" u="none" baseline="0">
              <a:solidFill>
                <a:srgbClr val="000000"/>
              </a:solidFill>
              <a:latin typeface="Arial"/>
              <a:ea typeface="Arial"/>
              <a:cs typeface="Arial"/>
            </a:rPr>
            <a:t>aardgas 5,0 Vol%
</a:t>
          </a:r>
          <a:r>
            <a:rPr lang="en-US" cap="none" sz="900" b="1" i="1" u="none" baseline="0">
              <a:solidFill>
                <a:srgbClr val="000000"/>
              </a:solidFill>
              <a:latin typeface="Arial"/>
              <a:ea typeface="Arial"/>
              <a:cs typeface="Arial"/>
            </a:rPr>
            <a:t>ammoniak 15,0 Vol%
</a:t>
          </a:r>
          <a:r>
            <a:rPr lang="en-US" cap="none" sz="900" b="1" i="1" u="none" baseline="0">
              <a:solidFill>
                <a:srgbClr val="000000"/>
              </a:solidFill>
              <a:latin typeface="Arial"/>
              <a:ea typeface="Arial"/>
              <a:cs typeface="Arial"/>
            </a:rPr>
            <a:t>koolmonoxide 11,0 Vol%
</a:t>
          </a:r>
          <a:r>
            <a:rPr lang="en-US" cap="none" sz="900" b="1" i="1" u="none" baseline="0">
              <a:solidFill>
                <a:srgbClr val="000000"/>
              </a:solidFill>
              <a:latin typeface="Arial"/>
              <a:ea typeface="Arial"/>
              <a:cs typeface="Arial"/>
            </a:rPr>
            <a:t>methaan 4,4 Vol%
</a:t>
          </a:r>
          <a:r>
            <a:rPr lang="en-US" cap="none" sz="900" b="1" i="1" u="none" baseline="0">
              <a:solidFill>
                <a:srgbClr val="000000"/>
              </a:solidFill>
              <a:latin typeface="Arial"/>
              <a:ea typeface="Arial"/>
              <a:cs typeface="Arial"/>
            </a:rPr>
            <a:t>waterstof 4,0 Vol%
</a:t>
          </a:r>
          <a:r>
            <a:rPr lang="en-US" cap="none" sz="900" b="1" i="1"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1Vol% = 10000 ppm
</a:t>
          </a:r>
          <a:r>
            <a:rPr lang="en-US" cap="none" sz="900" b="1" i="1" u="none" baseline="0">
              <a:solidFill>
                <a:srgbClr val="000000"/>
              </a:solidFill>
              <a:latin typeface="Arial"/>
              <a:ea typeface="Arial"/>
              <a:cs typeface="Arial"/>
            </a:rPr>
            <a:t>100 % LEL op de meter is de onderste explosiegrens van een stof. bv 100% LEL is OEG 15 Vol% ammoniak.
</a:t>
          </a:r>
          <a:r>
            <a:rPr lang="en-US" cap="none" sz="900" b="1" i="1" u="none" baseline="0">
              <a:solidFill>
                <a:srgbClr val="000000"/>
              </a:solidFill>
              <a:latin typeface="Arial"/>
              <a:ea typeface="Arial"/>
              <a:cs typeface="Arial"/>
            </a:rPr>
            <a:t>Vanuit dit gegeven kan men LEL% omrekenen naar ppm of andersom. Hierbij dienen we te bedenken dat de explosiemeter op een bepaalde stof is geijkt/gecalibreerd. Is dat methaan dan heb je bij methaan vreemde stoffen een afwijking.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A5:H22"/>
  <sheetViews>
    <sheetView showGridLines="0" showRowColHeaders="0" tabSelected="1" zoomScalePageLayoutView="0" workbookViewId="0" topLeftCell="B10">
      <selection activeCell="H21" sqref="H21"/>
    </sheetView>
  </sheetViews>
  <sheetFormatPr defaultColWidth="9.140625" defaultRowHeight="12.75"/>
  <cols>
    <col min="1" max="1" width="3.00390625" style="0" hidden="1" customWidth="1"/>
    <col min="2" max="2" width="27.28125" style="0" customWidth="1"/>
    <col min="3" max="3" width="9.421875" style="2" bestFit="1" customWidth="1"/>
    <col min="4" max="4" width="8.00390625" style="2" bestFit="1" customWidth="1"/>
    <col min="5" max="5" width="7.8515625" style="2" bestFit="1" customWidth="1"/>
    <col min="6" max="6" width="10.421875" style="0" hidden="1" customWidth="1"/>
    <col min="7" max="7" width="10.28125" style="0" hidden="1" customWidth="1"/>
  </cols>
  <sheetData>
    <row r="1" ht="12.75"/>
    <row r="2" ht="12.75"/>
    <row r="3" ht="12.75"/>
    <row r="4" ht="12.75"/>
    <row r="5" spans="2:7" s="7" customFormat="1" ht="12.75">
      <c r="B5" s="7" t="s">
        <v>0</v>
      </c>
      <c r="C5" s="8" t="s">
        <v>7</v>
      </c>
      <c r="D5" s="8" t="s">
        <v>6</v>
      </c>
      <c r="E5" s="8" t="s">
        <v>5</v>
      </c>
      <c r="F5" s="7" t="s">
        <v>3</v>
      </c>
      <c r="G5" s="7" t="s">
        <v>4</v>
      </c>
    </row>
    <row r="6" spans="1:8" ht="18" customHeight="1">
      <c r="A6" s="11">
        <v>9</v>
      </c>
      <c r="B6" s="10" t="str">
        <f>IF(C6=0,"",VLOOKUP(A6,zoekform!$A$2:$E$51,2))</f>
        <v>Aardgas</v>
      </c>
      <c r="C6" s="12">
        <v>35</v>
      </c>
      <c r="D6" s="14">
        <f>IF(C6=0,"",VLOOKUP(A6,zoekform!$A$2:$E$51,3))</f>
        <v>5</v>
      </c>
      <c r="E6" s="14">
        <f>IF(C6=0,"",VLOOKUP(A6,zoekform!$A$2:$E$51,4))</f>
        <v>15.8</v>
      </c>
      <c r="F6" s="1">
        <f aca="true" t="shared" si="0" ref="F6:F15">IF(C6="","",C6/D6)</f>
        <v>7</v>
      </c>
      <c r="G6" s="1">
        <f>IF(C6="","",C6/E6)</f>
        <v>2.2151898734177213</v>
      </c>
      <c r="H6" s="4"/>
    </row>
    <row r="7" spans="1:7" ht="18" customHeight="1">
      <c r="A7" s="11">
        <v>10</v>
      </c>
      <c r="B7" s="10" t="str">
        <f>IF(C7=0,"",VLOOKUP(A7,zoekform!$A$2:$E$51,2))</f>
        <v>Methaan</v>
      </c>
      <c r="C7" s="12">
        <v>5</v>
      </c>
      <c r="D7" s="14">
        <f>IF(C7=0,"",VLOOKUP(A7,zoekform!$A$2:$E$51,3))</f>
        <v>4.4</v>
      </c>
      <c r="E7" s="14">
        <f>IF(C7=0,"",VLOOKUP(A7,zoekform!$A$2:$E$51,4))</f>
        <v>16</v>
      </c>
      <c r="F7" s="1">
        <f t="shared" si="0"/>
        <v>1.1363636363636362</v>
      </c>
      <c r="G7" s="1">
        <f>IF(C7="","",C7/E7)</f>
        <v>0.3125</v>
      </c>
    </row>
    <row r="8" spans="1:7" ht="18" customHeight="1">
      <c r="A8" s="11">
        <v>12</v>
      </c>
      <c r="B8" s="10" t="str">
        <f>IF(C8=0,"",VLOOKUP(A8,zoekform!$A$2:$E$51,2))</f>
        <v>Methanol</v>
      </c>
      <c r="C8" s="12">
        <v>25</v>
      </c>
      <c r="D8" s="14">
        <f>IF(C8=0,"",VLOOKUP(A8,zoekform!$A$2:$E$51,3))</f>
        <v>5.5</v>
      </c>
      <c r="E8" s="14">
        <f>IF(C8=0,"",VLOOKUP(A8,zoekform!$A$2:$E$51,4))</f>
        <v>44</v>
      </c>
      <c r="F8" s="1">
        <f t="shared" si="0"/>
        <v>4.545454545454546</v>
      </c>
      <c r="G8" s="1">
        <f aca="true" t="shared" si="1" ref="G8:G15">IF(C8="","",C8/E8)</f>
        <v>0.5681818181818182</v>
      </c>
    </row>
    <row r="9" spans="1:7" ht="18" customHeight="1">
      <c r="A9" s="11">
        <v>6</v>
      </c>
      <c r="B9" s="10" t="str">
        <f>IF(C9=0,"",VLOOKUP(A9,zoekform!$A$2:$E$51,2))</f>
        <v>Triethyleentetramine (TETA)</v>
      </c>
      <c r="C9" s="12">
        <v>10</v>
      </c>
      <c r="D9" s="14">
        <f>IF(C9=0,"",VLOOKUP(A9,zoekform!$A$2:$E$51,3))</f>
        <v>0.7</v>
      </c>
      <c r="E9" s="14">
        <f>IF(C9=0,"",VLOOKUP(A9,zoekform!$A$2:$E$51,4))</f>
        <v>7.2</v>
      </c>
      <c r="F9" s="1">
        <f t="shared" si="0"/>
        <v>14.285714285714286</v>
      </c>
      <c r="G9" s="1">
        <f t="shared" si="1"/>
        <v>1.3888888888888888</v>
      </c>
    </row>
    <row r="10" spans="1:7" ht="18" customHeight="1">
      <c r="A10" s="11">
        <v>7</v>
      </c>
      <c r="B10" s="10" t="str">
        <f>IF(C10=0,"",VLOOKUP(A10,zoekform!$A$2:$E$51,2))</f>
        <v>Ethyleendichloride (EDC)</v>
      </c>
      <c r="C10" s="12">
        <v>25</v>
      </c>
      <c r="D10" s="14">
        <f>IF(C10=0,"",VLOOKUP(A10,zoekform!$A$2:$E$51,3))</f>
        <v>6.2</v>
      </c>
      <c r="E10" s="14">
        <f>IF(C10=0,"",VLOOKUP(A10,zoekform!$A$2:$E$51,4))</f>
        <v>16</v>
      </c>
      <c r="F10" s="1">
        <f t="shared" si="0"/>
        <v>4.032258064516129</v>
      </c>
      <c r="G10" s="1">
        <f t="shared" si="1"/>
        <v>1.5625</v>
      </c>
    </row>
    <row r="11" spans="1:7" ht="18" customHeight="1">
      <c r="A11" s="11">
        <v>1</v>
      </c>
      <c r="B11" s="10">
        <f>IF(C11=0,"",VLOOKUP(A11,zoekform!$A$2:$E$51,2))</f>
      </c>
      <c r="C11" s="12"/>
      <c r="D11" s="14">
        <f>IF(C11=0,"",VLOOKUP(A11,zoekform!$A$2:$E$51,3))</f>
      </c>
      <c r="E11" s="14">
        <f>IF(C11=0,"",VLOOKUP(A11,zoekform!$A$2:$E$51,4))</f>
      </c>
      <c r="F11" s="1">
        <f t="shared" si="0"/>
      </c>
      <c r="G11" s="1">
        <f t="shared" si="1"/>
      </c>
    </row>
    <row r="12" spans="1:7" ht="18" customHeight="1">
      <c r="A12" s="11">
        <v>1</v>
      </c>
      <c r="B12" s="10">
        <f>IF(C12=0,"",VLOOKUP(A12,zoekform!$A$2:$E$51,2))</f>
      </c>
      <c r="C12" s="12"/>
      <c r="D12" s="14">
        <f>IF(C12=0,"",VLOOKUP(A12,zoekform!$A$2:$E$51,3))</f>
      </c>
      <c r="E12" s="14">
        <f>IF(C12=0,"",VLOOKUP(A12,zoekform!$A$2:$E$51,4))</f>
      </c>
      <c r="F12" s="1">
        <f t="shared" si="0"/>
      </c>
      <c r="G12" s="1">
        <f t="shared" si="1"/>
      </c>
    </row>
    <row r="13" spans="1:7" ht="18" customHeight="1">
      <c r="A13" s="11">
        <v>1</v>
      </c>
      <c r="B13" s="10">
        <f>IF(C13=0,"",VLOOKUP(A13,zoekform!$A$2:$E$51,2))</f>
      </c>
      <c r="C13" s="12"/>
      <c r="D13" s="14">
        <f>IF(C13=0,"",VLOOKUP(A13,zoekform!$A$2:$E$51,3))</f>
      </c>
      <c r="E13" s="14">
        <f>IF(C13=0,"",VLOOKUP(A13,zoekform!$A$2:$E$51,4))</f>
      </c>
      <c r="F13" s="1">
        <f t="shared" si="0"/>
      </c>
      <c r="G13" s="1">
        <f t="shared" si="1"/>
      </c>
    </row>
    <row r="14" spans="1:7" ht="18" customHeight="1">
      <c r="A14" s="11">
        <v>1</v>
      </c>
      <c r="B14" s="10">
        <f>IF(C14=0,"",VLOOKUP(A14,zoekform!$A$2:$E$51,2))</f>
      </c>
      <c r="C14" s="12"/>
      <c r="D14" s="14">
        <f>IF(C14=0,"",VLOOKUP(A14,zoekform!$A$2:$E$51,3))</f>
      </c>
      <c r="E14" s="14">
        <f>IF(C14=0,"",VLOOKUP(A14,zoekform!$A$2:$E$51,4))</f>
      </c>
      <c r="F14" s="1">
        <f t="shared" si="0"/>
      </c>
      <c r="G14" s="1">
        <f t="shared" si="1"/>
      </c>
    </row>
    <row r="15" spans="1:7" ht="18" customHeight="1">
      <c r="A15" s="11">
        <v>1</v>
      </c>
      <c r="B15" s="10">
        <f>IF(C15=0,"",VLOOKUP(A15,zoekform!$A$2:$E$51,2))</f>
      </c>
      <c r="C15" s="12"/>
      <c r="D15" s="14">
        <f>IF(C15=0,"",VLOOKUP(A15,zoekform!$A$2:$E$51,3))</f>
      </c>
      <c r="E15" s="14">
        <f>IF(C15=0,"",VLOOKUP(A15,zoekform!$A$2:$E$51,4))</f>
      </c>
      <c r="F15" s="1">
        <f t="shared" si="0"/>
      </c>
      <c r="G15" s="1">
        <f t="shared" si="1"/>
      </c>
    </row>
    <row r="16" spans="1:7" ht="18" customHeight="1" thickBot="1">
      <c r="A16" s="11">
        <v>1</v>
      </c>
      <c r="B16" s="10">
        <f>IF(C16=0,"",VLOOKUP(A16,zoekform!$A$2:$E$51,2))</f>
      </c>
      <c r="C16" s="13"/>
      <c r="D16" s="14">
        <f>IF(C16=0,"",VLOOKUP(A16,zoekform!$A$2:$E$51,3))</f>
      </c>
      <c r="E16" s="14">
        <f>IF(C16=0,"",VLOOKUP(A16,zoekform!$A$2:$E$51,4))</f>
      </c>
      <c r="F16" s="1">
        <f>SUM(F6:F15)</f>
        <v>30.9997905320486</v>
      </c>
      <c r="G16" s="1">
        <f>SUM(G6:G15)</f>
        <v>6.0472605804884285</v>
      </c>
    </row>
    <row r="17" spans="2:3" ht="13.5" thickBot="1">
      <c r="B17" s="3" t="s">
        <v>8</v>
      </c>
      <c r="C17" s="15">
        <f>SUM(C6:C15)</f>
        <v>100</v>
      </c>
    </row>
    <row r="18" ht="12.75">
      <c r="B18" s="57">
        <f>IF(C17&gt;100,"Som van fracties kan niet groter zijn dan 100!","")</f>
      </c>
    </row>
    <row r="19" ht="13.5" thickBot="1"/>
    <row r="20" spans="2:4" ht="13.5" thickBot="1">
      <c r="B20" s="8" t="s">
        <v>16</v>
      </c>
      <c r="C20" s="9" t="s">
        <v>1</v>
      </c>
      <c r="D20" s="16">
        <f>1/F16</f>
        <v>0.03225828248633381</v>
      </c>
    </row>
    <row r="21" spans="3:4" ht="13.5" thickBot="1">
      <c r="C21" s="8"/>
      <c r="D21" s="8"/>
    </row>
    <row r="22" spans="3:4" ht="13.5" thickBot="1">
      <c r="C22" s="9" t="s">
        <v>2</v>
      </c>
      <c r="D22" s="16">
        <f>1/G16</f>
        <v>0.1653641325175426</v>
      </c>
    </row>
  </sheetData>
  <sheetProtection/>
  <conditionalFormatting sqref="C17">
    <cfRule type="cellIs" priority="1" dxfId="0" operator="greaterThan" stopIfTrue="1">
      <formula>100</formula>
    </cfRule>
  </conditionalFormatting>
  <printOptions/>
  <pageMargins left="0.75" right="0.75" top="1" bottom="1" header="0.5" footer="0.5"/>
  <pageSetup orientation="landscape" paperSize="9" r:id="rId4"/>
  <headerFooter alignWithMargins="0">
    <oddFooter>&amp;RJ.Warta_24-02-2005</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Blad3"/>
  <dimension ref="A1:G42"/>
  <sheetViews>
    <sheetView showGridLines="0" showRowColHeaders="0" zoomScalePageLayoutView="0" workbookViewId="0" topLeftCell="A2">
      <selection activeCell="D27" sqref="D27"/>
    </sheetView>
  </sheetViews>
  <sheetFormatPr defaultColWidth="9.140625" defaultRowHeight="12.75"/>
  <cols>
    <col min="3" max="3" width="29.140625" style="0" customWidth="1"/>
    <col min="4" max="4" width="9.28125" style="2" bestFit="1" customWidth="1"/>
  </cols>
  <sheetData>
    <row r="1" ht="12.75" hidden="1">
      <c r="A1" s="17">
        <v>11</v>
      </c>
    </row>
    <row r="2" ht="12.75"/>
    <row r="3" spans="3:5" ht="12.75">
      <c r="C3" s="18"/>
      <c r="D3" s="19"/>
      <c r="E3" s="19"/>
    </row>
    <row r="4" ht="12.75"/>
    <row r="5" ht="12.75"/>
    <row r="6" ht="12.75"/>
    <row r="7" ht="12.75"/>
    <row r="8" ht="12.75">
      <c r="C8" s="20" t="s">
        <v>17</v>
      </c>
    </row>
    <row r="9" spans="1:4" ht="12.75">
      <c r="A9" s="21"/>
      <c r="B9" s="22" t="s">
        <v>18</v>
      </c>
      <c r="C9" s="23">
        <v>5</v>
      </c>
      <c r="D9" s="21" t="s">
        <v>19</v>
      </c>
    </row>
    <row r="10" spans="1:4" ht="12.75">
      <c r="A10" s="21"/>
      <c r="B10" s="21" t="s">
        <v>0</v>
      </c>
      <c r="C10" s="24" t="str">
        <f>IF(VLOOKUP($A$1,zoekform!$A$2:$E$51,2)=0,"",VLOOKUP($A$1,zoekform!$A$2:$E$51,2))</f>
        <v>Waterstof</v>
      </c>
      <c r="D10" s="21"/>
    </row>
    <row r="11" spans="1:4" ht="12.75">
      <c r="A11" s="21"/>
      <c r="B11" s="22" t="s">
        <v>20</v>
      </c>
      <c r="C11" s="25">
        <f>IF(VLOOKUP($A$1,zoekform!$A$2:$E$51,3)=0,"",VLOOKUP($A$1,zoekform!$A$2:$E$51,3))</f>
        <v>4</v>
      </c>
      <c r="D11" s="21" t="s">
        <v>19</v>
      </c>
    </row>
    <row r="12" spans="1:5" ht="12.75">
      <c r="A12" s="21"/>
      <c r="B12" s="22" t="s">
        <v>21</v>
      </c>
      <c r="C12" s="26">
        <f>C13/10000</f>
        <v>0.2</v>
      </c>
      <c r="D12" s="21" t="s">
        <v>19</v>
      </c>
      <c r="E12" s="27">
        <f>IF(C12&gt;=0.1*C11,"Let op 10% LEL is bereikt!","")</f>
      </c>
    </row>
    <row r="13" spans="1:4" ht="12.75">
      <c r="A13" s="21"/>
      <c r="B13" s="22" t="s">
        <v>22</v>
      </c>
      <c r="C13" s="24">
        <f>C9*C11*100</f>
        <v>2000</v>
      </c>
      <c r="D13" s="21" t="s">
        <v>23</v>
      </c>
    </row>
    <row r="14" spans="1:2" ht="12.75">
      <c r="A14" s="21"/>
      <c r="B14" s="21"/>
    </row>
    <row r="15" spans="1:4" ht="12.75">
      <c r="A15" s="21"/>
      <c r="B15" s="21"/>
      <c r="C15" s="6"/>
      <c r="D15" s="3" t="s">
        <v>24</v>
      </c>
    </row>
    <row r="16" spans="1:4" ht="12.75">
      <c r="A16" s="21"/>
      <c r="B16" s="22" t="s">
        <v>22</v>
      </c>
      <c r="C16" s="23">
        <v>1150</v>
      </c>
      <c r="D16" s="28" t="s">
        <v>23</v>
      </c>
    </row>
    <row r="17" spans="1:4" ht="12.75">
      <c r="A17" s="21"/>
      <c r="B17" s="21" t="s">
        <v>0</v>
      </c>
      <c r="C17" s="24" t="str">
        <f>IF(VLOOKUP($A$1,zoekform!$A$2:$E$51,2)=0,"",VLOOKUP($A$1,zoekform!$A$2:$E$51,2))</f>
        <v>Waterstof</v>
      </c>
      <c r="D17" s="29"/>
    </row>
    <row r="18" spans="1:4" ht="12.75">
      <c r="A18" s="21"/>
      <c r="B18" s="22" t="s">
        <v>20</v>
      </c>
      <c r="C18" s="24">
        <f>IF(VLOOKUP($A$1,zoekform!$A$2:$E$51,3)=0,"",VLOOKUP($A$1,zoekform!$A$2:$E$51,3))</f>
        <v>4</v>
      </c>
      <c r="D18" s="21" t="s">
        <v>19</v>
      </c>
    </row>
    <row r="19" spans="1:5" ht="12.75">
      <c r="A19" s="21"/>
      <c r="B19" s="22" t="s">
        <v>21</v>
      </c>
      <c r="C19" s="30">
        <f>C16/10000</f>
        <v>0.115</v>
      </c>
      <c r="D19" s="28" t="s">
        <v>19</v>
      </c>
      <c r="E19" s="27">
        <f>IF(C19&gt;=0.1*C18,"Let op 10% LEL is bereikt!","")</f>
      </c>
    </row>
    <row r="20" spans="1:4" ht="12.75">
      <c r="A20" s="21"/>
      <c r="B20" s="22" t="s">
        <v>18</v>
      </c>
      <c r="C20" s="30">
        <f>C16/(C18*100)</f>
        <v>2.875</v>
      </c>
      <c r="D20" s="21" t="s">
        <v>19</v>
      </c>
    </row>
    <row r="21" spans="5:7" ht="12.75">
      <c r="E21" s="18"/>
      <c r="F21" s="18"/>
      <c r="G21" s="18"/>
    </row>
    <row r="22" spans="2:7" ht="12.75">
      <c r="B22" s="31" t="s">
        <v>25</v>
      </c>
      <c r="C22" s="78" t="str">
        <f>IF(VLOOKUP($A$1,zoekform!$A$2:$I$51,7)=0,"",VLOOKUP($A$1,zoekform!$A$2:$I$51,7))</f>
        <v>niet vastgesteld</v>
      </c>
      <c r="D22" s="20" t="s">
        <v>23</v>
      </c>
      <c r="E22" s="18"/>
      <c r="F22" s="18"/>
      <c r="G22" s="18"/>
    </row>
    <row r="23" spans="3:7" ht="15.75">
      <c r="C23" s="78" t="e">
        <f>IF(VLOOKUP($A$1,zoekform!$A$2:$I$51,8)=0,"",VLOOKUP($A$1,zoekform!$A$2:$I$51,8))</f>
        <v>#VALUE!</v>
      </c>
      <c r="D23" s="20" t="s">
        <v>38</v>
      </c>
      <c r="E23" s="18"/>
      <c r="F23" s="18"/>
      <c r="G23" s="18"/>
    </row>
    <row r="24" spans="3:4" ht="12.75">
      <c r="C24" s="61"/>
      <c r="D24" s="61"/>
    </row>
    <row r="25" spans="3:4" ht="12.75">
      <c r="C25" s="62"/>
      <c r="D25" s="61"/>
    </row>
    <row r="26" spans="1:4" ht="12.75">
      <c r="A26" s="61"/>
      <c r="B26" s="61"/>
      <c r="C26" s="64"/>
      <c r="D26" s="61"/>
    </row>
    <row r="27" spans="3:4" ht="12.75">
      <c r="C27" s="62"/>
      <c r="D27" s="65"/>
    </row>
    <row r="28" spans="3:5" ht="12.75">
      <c r="C28" s="61"/>
      <c r="D28" s="61"/>
      <c r="E28" s="61"/>
    </row>
    <row r="29" spans="3:5" ht="12.75">
      <c r="C29" s="62"/>
      <c r="D29" s="61"/>
      <c r="E29" s="61"/>
    </row>
    <row r="30" spans="3:5" ht="12.75">
      <c r="C30" s="66"/>
      <c r="D30" s="61"/>
      <c r="E30" s="61"/>
    </row>
    <row r="31" spans="3:5" ht="12.75">
      <c r="C31" s="61"/>
      <c r="D31" s="61"/>
      <c r="E31" s="61"/>
    </row>
    <row r="32" spans="3:5" ht="12.75">
      <c r="C32" s="62"/>
      <c r="D32" s="61"/>
      <c r="E32" s="61"/>
    </row>
    <row r="33" spans="3:5" ht="12.75">
      <c r="C33" s="66"/>
      <c r="D33" s="61"/>
      <c r="E33" s="61"/>
    </row>
    <row r="34" spans="3:5" ht="12.75">
      <c r="C34" s="61"/>
      <c r="D34" s="63"/>
      <c r="E34" s="61"/>
    </row>
    <row r="35" spans="3:5" ht="12.75">
      <c r="C35" s="61"/>
      <c r="D35" s="61"/>
      <c r="E35" s="61"/>
    </row>
    <row r="36" spans="3:5" ht="12.75">
      <c r="C36" s="61"/>
      <c r="D36" s="61"/>
      <c r="E36" s="61"/>
    </row>
    <row r="37" spans="3:5" ht="12.75">
      <c r="C37" s="61"/>
      <c r="D37" s="61"/>
      <c r="E37" s="61"/>
    </row>
    <row r="38" spans="3:5" ht="12.75">
      <c r="C38" s="61"/>
      <c r="D38" s="61"/>
      <c r="E38" s="61"/>
    </row>
    <row r="39" spans="3:5" ht="12.75">
      <c r="C39" s="61"/>
      <c r="D39" s="61"/>
      <c r="E39" s="61"/>
    </row>
    <row r="40" spans="3:5" ht="12.75">
      <c r="C40" s="61"/>
      <c r="D40" s="63"/>
      <c r="E40" s="61"/>
    </row>
    <row r="41" spans="1:5" ht="12.75">
      <c r="A41" s="61"/>
      <c r="B41" s="61"/>
      <c r="C41" s="61"/>
      <c r="D41" s="61"/>
      <c r="E41" s="61"/>
    </row>
    <row r="42" spans="1:5" ht="12.75">
      <c r="A42" s="61"/>
      <c r="B42" s="61"/>
      <c r="C42" s="62"/>
      <c r="D42" s="61"/>
      <c r="E42" s="61"/>
    </row>
  </sheetData>
  <sheetProtection password="CE26" sheet="1" objects="1" scenarios="1"/>
  <conditionalFormatting sqref="C19">
    <cfRule type="cellIs" priority="1" dxfId="0" operator="greaterThanOrEqual" stopIfTrue="1">
      <formula>0.1*$C$18</formula>
    </cfRule>
  </conditionalFormatting>
  <conditionalFormatting sqref="C12">
    <cfRule type="cellIs" priority="2" dxfId="0" operator="greaterThanOrEqual" stopIfTrue="1">
      <formula>0.1*$C$11</formula>
    </cfRule>
  </conditionalFormatting>
  <printOptions/>
  <pageMargins left="0.75" right="0.75" top="1" bottom="1" header="0.5" footer="0.5"/>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Blad4"/>
  <dimension ref="A1:M41"/>
  <sheetViews>
    <sheetView showGridLines="0" zoomScalePageLayoutView="0" workbookViewId="0" topLeftCell="A2">
      <selection activeCell="D27" sqref="D27"/>
    </sheetView>
  </sheetViews>
  <sheetFormatPr defaultColWidth="9.140625" defaultRowHeight="12.75"/>
  <cols>
    <col min="1" max="1" width="2.8515625" style="0" customWidth="1"/>
    <col min="2" max="2" width="8.00390625" style="0" customWidth="1"/>
    <col min="3" max="3" width="7.421875" style="0" customWidth="1"/>
    <col min="4" max="4" width="9.57421875" style="0" bestFit="1" customWidth="1"/>
    <col min="5" max="5" width="8.8515625" style="0" bestFit="1" customWidth="1"/>
    <col min="6" max="6" width="10.7109375" style="0" customWidth="1"/>
    <col min="7" max="7" width="1.7109375" style="0" customWidth="1"/>
    <col min="8" max="8" width="20.00390625" style="0" bestFit="1" customWidth="1"/>
    <col min="9" max="9" width="8.00390625" style="0" customWidth="1"/>
    <col min="10" max="10" width="13.57421875" style="0" customWidth="1"/>
  </cols>
  <sheetData>
    <row r="1" ht="12.75" hidden="1">
      <c r="A1" s="17">
        <v>1</v>
      </c>
    </row>
    <row r="4" spans="2:6" ht="12.75">
      <c r="B4" s="106" t="s">
        <v>25</v>
      </c>
      <c r="C4" s="106"/>
      <c r="D4" s="106"/>
      <c r="E4" s="106"/>
      <c r="F4" s="106"/>
    </row>
    <row r="5" spans="2:6" ht="12.75">
      <c r="B5" s="107" t="str">
        <f>IF(VLOOKUP($A$1,zoekform!$A$2:$I$51,2)="","Geen brongegeven",VLOOKUP($A$1,zoekform!$A$2:$I$51,2))</f>
        <v>Ammoniak</v>
      </c>
      <c r="C5" s="107"/>
      <c r="D5" s="107"/>
      <c r="E5" s="107"/>
      <c r="F5" s="107"/>
    </row>
    <row r="6" spans="2:13" ht="12.75" customHeight="1">
      <c r="B6" s="105">
        <f>IF(ISERROR(VLOOKUP($A$1,zoekform!$A$2:$I$51,7)),"",VLOOKUP($A$1,zoekform!$A$2:$I$51,7))</f>
        <v>20</v>
      </c>
      <c r="C6" s="105"/>
      <c r="D6" s="105"/>
      <c r="E6" s="105"/>
      <c r="F6" s="99" t="s">
        <v>23</v>
      </c>
      <c r="I6" s="98"/>
      <c r="J6" s="98"/>
      <c r="K6" s="98"/>
      <c r="L6" s="98"/>
      <c r="M6" s="61"/>
    </row>
    <row r="7" spans="2:6" ht="12.75" customHeight="1">
      <c r="B7" s="105">
        <f>IF(ISERROR(VLOOKUP($A$1,zoekform!$A$2:$I$51,8)),B6,IF(VLOOKUP($A$1,zoekform!$A$2:$I$51,8)=0,"",VLOOKUP($A$1,zoekform!$A$2:$I$51,8)))</f>
        <v>14.142491467576795</v>
      </c>
      <c r="C7" s="105"/>
      <c r="D7" s="105"/>
      <c r="E7" s="105"/>
      <c r="F7" s="99" t="s">
        <v>43</v>
      </c>
    </row>
    <row r="8" ht="12" customHeight="1"/>
    <row r="9" spans="2:6" ht="12.75">
      <c r="B9" s="108" t="str">
        <f>IF(VLOOKUP($A$1,zoekform!$A$2:$I$51,2)="","Geen brongegeven",VLOOKUP($A$1,zoekform!$A$2:$I$51,2))</f>
        <v>Ammoniak</v>
      </c>
      <c r="C9" s="109"/>
      <c r="D9" s="109"/>
      <c r="E9" s="109"/>
      <c r="F9" s="110"/>
    </row>
    <row r="10" spans="2:6" ht="14.25">
      <c r="B10" s="90"/>
      <c r="C10" s="47"/>
      <c r="D10" s="80" t="s">
        <v>26</v>
      </c>
      <c r="E10" s="79">
        <v>20</v>
      </c>
      <c r="F10" s="91" t="s">
        <v>39</v>
      </c>
    </row>
    <row r="11" spans="2:6" ht="12.75">
      <c r="B11" s="92"/>
      <c r="C11" s="86"/>
      <c r="D11" s="93" t="s">
        <v>30</v>
      </c>
      <c r="E11" s="88">
        <f>VLOOKUP($A$1,zoekform!$A$2:$I$51,9)</f>
        <v>17</v>
      </c>
      <c r="F11" s="89"/>
    </row>
    <row r="12" spans="2:6" ht="12.75" hidden="1">
      <c r="B12" s="81">
        <f>E10+273</f>
        <v>293</v>
      </c>
      <c r="C12" s="47"/>
      <c r="D12" s="47"/>
      <c r="E12" s="47"/>
      <c r="F12" s="47"/>
    </row>
    <row r="13" spans="2:6" ht="12.75">
      <c r="B13" s="47"/>
      <c r="E13" s="47"/>
      <c r="F13" s="47"/>
    </row>
    <row r="14" spans="2:6" ht="12.75">
      <c r="B14" s="83" t="s">
        <v>28</v>
      </c>
      <c r="C14" s="84"/>
      <c r="D14" s="84"/>
      <c r="E14" s="84"/>
      <c r="F14" s="85"/>
    </row>
    <row r="15" spans="2:6" ht="20.25">
      <c r="B15" s="94">
        <v>14</v>
      </c>
      <c r="C15" s="86" t="s">
        <v>29</v>
      </c>
      <c r="D15" s="87" t="s">
        <v>40</v>
      </c>
      <c r="E15" s="88">
        <f>IF(ISERROR(((B12/273)*22.4)/E11*B15),0,((B12/273)*22.4)/E11*B15)</f>
        <v>19.798491704374054</v>
      </c>
      <c r="F15" s="89" t="s">
        <v>23</v>
      </c>
    </row>
    <row r="17" spans="2:6" ht="12.75">
      <c r="B17" s="83" t="s">
        <v>31</v>
      </c>
      <c r="C17" s="84"/>
      <c r="D17" s="84"/>
      <c r="E17" s="84"/>
      <c r="F17" s="85"/>
    </row>
    <row r="18" spans="1:7" ht="20.25">
      <c r="A18" s="61"/>
      <c r="B18" s="94">
        <v>20</v>
      </c>
      <c r="C18" s="86" t="s">
        <v>23</v>
      </c>
      <c r="D18" s="87" t="s">
        <v>40</v>
      </c>
      <c r="E18" s="88">
        <f>IF(ISERROR(B18*(E11/(B12/273*22.4))),0,B18*(E11/(B12/273*22.4)))</f>
        <v>14.142491467576795</v>
      </c>
      <c r="F18" s="89" t="s">
        <v>29</v>
      </c>
      <c r="G18" s="61"/>
    </row>
    <row r="19" spans="1:7" ht="13.5" thickBot="1">
      <c r="A19" s="61"/>
      <c r="E19" s="61"/>
      <c r="F19" s="61"/>
      <c r="G19" s="61"/>
    </row>
    <row r="20" spans="1:7" ht="13.5" thickBot="1">
      <c r="A20" s="61"/>
      <c r="B20" s="58" t="s">
        <v>32</v>
      </c>
      <c r="C20" s="59"/>
      <c r="D20" s="60"/>
      <c r="E20" s="61"/>
      <c r="F20" s="61"/>
      <c r="G20" s="61"/>
    </row>
    <row r="21" spans="1:7" ht="12.75">
      <c r="A21" s="61"/>
      <c r="B21" s="61"/>
      <c r="C21" s="61"/>
      <c r="D21" s="61"/>
      <c r="E21" s="61"/>
      <c r="F21" s="61"/>
      <c r="G21" s="61"/>
    </row>
    <row r="22" spans="1:7" ht="13.5" thickBot="1">
      <c r="A22" s="61"/>
      <c r="B22" s="97" t="s">
        <v>42</v>
      </c>
      <c r="C22" s="61"/>
      <c r="D22" s="61"/>
      <c r="E22" s="61"/>
      <c r="F22" s="61"/>
      <c r="G22" s="61"/>
    </row>
    <row r="23" spans="1:7" ht="13.5" thickBot="1">
      <c r="A23" s="61"/>
      <c r="B23" s="103" t="s">
        <v>0</v>
      </c>
      <c r="C23" s="104"/>
      <c r="D23" s="100" t="s">
        <v>10</v>
      </c>
      <c r="E23" s="101"/>
      <c r="F23" s="102"/>
      <c r="G23" s="61"/>
    </row>
    <row r="24" spans="1:7" ht="13.5" thickBot="1">
      <c r="A24" s="61"/>
      <c r="B24" s="61"/>
      <c r="C24" s="61"/>
      <c r="D24" s="62"/>
      <c r="E24" s="61"/>
      <c r="F24" s="61"/>
      <c r="G24" s="61"/>
    </row>
    <row r="25" spans="1:7" ht="13.5" thickBot="1">
      <c r="A25" s="61"/>
      <c r="B25" s="43" t="s">
        <v>26</v>
      </c>
      <c r="C25" s="44"/>
      <c r="D25" s="44"/>
      <c r="E25" s="44"/>
      <c r="F25" s="45"/>
      <c r="G25" s="61"/>
    </row>
    <row r="26" spans="2:6" ht="15" thickBot="1">
      <c r="B26" s="96">
        <v>22</v>
      </c>
      <c r="C26" s="37" t="s">
        <v>39</v>
      </c>
      <c r="D26" s="37"/>
      <c r="E26" s="37"/>
      <c r="F26" s="38"/>
    </row>
    <row r="27" ht="12" customHeight="1" hidden="1">
      <c r="B27" s="39">
        <f>B26+273</f>
        <v>295</v>
      </c>
    </row>
    <row r="28" ht="13.5" thickBot="1"/>
    <row r="29" spans="2:6" ht="13.5" thickBot="1">
      <c r="B29" s="40" t="s">
        <v>28</v>
      </c>
      <c r="C29" s="41"/>
      <c r="D29" s="41"/>
      <c r="E29" s="41"/>
      <c r="F29" s="42"/>
    </row>
    <row r="30" spans="2:6" ht="12.75">
      <c r="B30" s="43"/>
      <c r="C30" s="44"/>
      <c r="D30" s="44"/>
      <c r="E30" s="44"/>
      <c r="F30" s="45"/>
    </row>
    <row r="31" spans="2:6" ht="20.25">
      <c r="B31" s="46">
        <v>6</v>
      </c>
      <c r="C31" s="47" t="s">
        <v>29</v>
      </c>
      <c r="D31" s="82" t="s">
        <v>40</v>
      </c>
      <c r="E31" s="48">
        <f>((B27/273)*22.4)/D33*B31</f>
        <v>2.4164853449379233</v>
      </c>
      <c r="F31" s="49" t="s">
        <v>23</v>
      </c>
    </row>
    <row r="32" spans="2:6" ht="12.75">
      <c r="B32" s="50"/>
      <c r="C32" s="47"/>
      <c r="D32" s="47"/>
      <c r="E32" s="47"/>
      <c r="F32" s="49"/>
    </row>
    <row r="33" spans="2:6" ht="13.5" thickBot="1">
      <c r="B33" s="51"/>
      <c r="C33" s="52" t="s">
        <v>30</v>
      </c>
      <c r="D33" s="53">
        <v>60.1</v>
      </c>
      <c r="E33" s="54"/>
      <c r="F33" s="55"/>
    </row>
    <row r="34" ht="13.5" thickBot="1"/>
    <row r="35" spans="2:6" ht="13.5" thickBot="1">
      <c r="B35" s="40" t="s">
        <v>31</v>
      </c>
      <c r="C35" s="41"/>
      <c r="D35" s="41"/>
      <c r="E35" s="41"/>
      <c r="F35" s="42"/>
    </row>
    <row r="36" spans="2:6" ht="12.75">
      <c r="B36" s="43"/>
      <c r="C36" s="44"/>
      <c r="D36" s="44"/>
      <c r="E36" s="44"/>
      <c r="F36" s="45"/>
    </row>
    <row r="37" spans="2:6" ht="20.25">
      <c r="B37" s="46">
        <v>750</v>
      </c>
      <c r="C37" s="47" t="s">
        <v>23</v>
      </c>
      <c r="D37" s="82" t="s">
        <v>40</v>
      </c>
      <c r="E37" s="48">
        <f>B37*(D39/(B27/273*22.4))</f>
        <v>1800.2383474576275</v>
      </c>
      <c r="F37" s="49" t="s">
        <v>29</v>
      </c>
    </row>
    <row r="38" spans="2:6" ht="12.75">
      <c r="B38" s="50"/>
      <c r="C38" s="47"/>
      <c r="D38" s="47"/>
      <c r="E38" s="47"/>
      <c r="F38" s="49"/>
    </row>
    <row r="39" spans="2:6" ht="13.5" thickBot="1">
      <c r="B39" s="51" t="s">
        <v>30</v>
      </c>
      <c r="C39" s="54"/>
      <c r="D39" s="53">
        <v>58.1</v>
      </c>
      <c r="E39" s="54"/>
      <c r="F39" s="55"/>
    </row>
    <row r="41" spans="2:5" ht="15">
      <c r="B41" s="56"/>
      <c r="C41" s="56"/>
      <c r="D41" s="56"/>
      <c r="E41" s="56"/>
    </row>
  </sheetData>
  <sheetProtection password="CE26" sheet="1" objects="1" scenarios="1"/>
  <mergeCells count="7">
    <mergeCell ref="D23:F23"/>
    <mergeCell ref="B23:C23"/>
    <mergeCell ref="B7:E7"/>
    <mergeCell ref="B4:F4"/>
    <mergeCell ref="B5:F5"/>
    <mergeCell ref="B6:E6"/>
    <mergeCell ref="B9:F9"/>
  </mergeCells>
  <printOptions/>
  <pageMargins left="0.75" right="0.75" top="1" bottom="1" header="0.5" footer="0.5"/>
  <pageSetup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Blad2"/>
  <dimension ref="A1:T51"/>
  <sheetViews>
    <sheetView showGridLines="0" showRowColHeaders="0" zoomScalePageLayoutView="0" workbookViewId="0" topLeftCell="A1">
      <selection activeCell="J10" sqref="J10"/>
    </sheetView>
  </sheetViews>
  <sheetFormatPr defaultColWidth="9.140625" defaultRowHeight="12.75"/>
  <cols>
    <col min="1" max="1" width="3.00390625" style="0" bestFit="1" customWidth="1"/>
    <col min="2" max="2" width="27.7109375" style="0" bestFit="1" customWidth="1"/>
    <col min="3" max="4" width="6.8515625" style="0" customWidth="1"/>
    <col min="5" max="5" width="14.00390625" style="0" bestFit="1" customWidth="1"/>
    <col min="6" max="6" width="7.140625" style="0" bestFit="1" customWidth="1"/>
    <col min="7" max="7" width="8.8515625" style="0" bestFit="1" customWidth="1"/>
    <col min="8" max="8" width="10.7109375" style="0" bestFit="1" customWidth="1"/>
  </cols>
  <sheetData>
    <row r="1" spans="2:10" ht="12.75">
      <c r="B1" s="5" t="s">
        <v>9</v>
      </c>
      <c r="C1" s="5" t="s">
        <v>1</v>
      </c>
      <c r="D1" s="5" t="s">
        <v>2</v>
      </c>
      <c r="E1" s="5" t="s">
        <v>33</v>
      </c>
      <c r="F1" s="5" t="s">
        <v>29</v>
      </c>
      <c r="G1" s="95" t="s">
        <v>34</v>
      </c>
      <c r="H1" s="95" t="s">
        <v>35</v>
      </c>
      <c r="I1" s="5" t="s">
        <v>36</v>
      </c>
      <c r="J1" s="61"/>
    </row>
    <row r="2" spans="1:10" ht="12.75">
      <c r="A2" s="32">
        <v>1</v>
      </c>
      <c r="B2" s="33" t="s">
        <v>44</v>
      </c>
      <c r="C2" s="33">
        <v>15</v>
      </c>
      <c r="D2" s="33">
        <v>30.2</v>
      </c>
      <c r="E2" s="33">
        <v>20</v>
      </c>
      <c r="F2" s="33"/>
      <c r="G2" s="76">
        <f aca="true" t="shared" si="0" ref="G2:G33">IF(E2&gt;0,E2,(($K$7/273)*22.4)/I2*F2)</f>
        <v>20</v>
      </c>
      <c r="H2" s="76">
        <f aca="true" t="shared" si="1" ref="H2:H33">IF(F2&gt;0,F2,E2*(I2/($K$7/273*22.4)))</f>
        <v>14.142491467576795</v>
      </c>
      <c r="I2" s="33">
        <v>17</v>
      </c>
      <c r="J2" s="61"/>
    </row>
    <row r="3" spans="1:10" ht="12.75">
      <c r="A3" s="32">
        <v>2</v>
      </c>
      <c r="B3" s="34" t="s">
        <v>45</v>
      </c>
      <c r="C3" s="33">
        <v>2.5</v>
      </c>
      <c r="D3" s="33">
        <v>16.6</v>
      </c>
      <c r="E3" s="33">
        <v>7</v>
      </c>
      <c r="F3" s="33"/>
      <c r="G3" s="76">
        <f t="shared" si="0"/>
        <v>7</v>
      </c>
      <c r="H3" s="76">
        <f t="shared" si="1"/>
        <v>17.49925341296929</v>
      </c>
      <c r="I3" s="33">
        <v>60.1</v>
      </c>
      <c r="J3" s="61"/>
    </row>
    <row r="4" spans="1:10" ht="12.75">
      <c r="A4" s="32">
        <v>3</v>
      </c>
      <c r="B4" s="34" t="s">
        <v>46</v>
      </c>
      <c r="C4" s="33">
        <v>4.4</v>
      </c>
      <c r="D4" s="33">
        <v>16.1</v>
      </c>
      <c r="E4" s="33">
        <v>1</v>
      </c>
      <c r="F4" s="33"/>
      <c r="G4" s="76">
        <f t="shared" si="0"/>
        <v>1</v>
      </c>
      <c r="H4" s="76">
        <f t="shared" si="1"/>
        <v>4.292662116040956</v>
      </c>
      <c r="I4" s="33">
        <v>103.2</v>
      </c>
      <c r="J4" s="61"/>
    </row>
    <row r="5" spans="1:13" ht="12.75">
      <c r="A5" s="32">
        <v>4</v>
      </c>
      <c r="B5" s="34" t="s">
        <v>47</v>
      </c>
      <c r="C5" s="33">
        <v>4</v>
      </c>
      <c r="D5" s="33">
        <v>14</v>
      </c>
      <c r="E5" s="33"/>
      <c r="F5" s="33">
        <v>0.1</v>
      </c>
      <c r="G5" s="76">
        <f t="shared" si="0"/>
        <v>0.012379518867675406</v>
      </c>
      <c r="H5" s="76">
        <f t="shared" si="1"/>
        <v>0.1</v>
      </c>
      <c r="I5" s="33">
        <v>194.2</v>
      </c>
      <c r="J5" s="61"/>
      <c r="K5" s="69" t="s">
        <v>26</v>
      </c>
      <c r="L5" s="70"/>
      <c r="M5" s="71"/>
    </row>
    <row r="6" spans="1:13" ht="12.75">
      <c r="A6" s="32">
        <v>5</v>
      </c>
      <c r="B6" s="34" t="s">
        <v>11</v>
      </c>
      <c r="C6" s="33">
        <v>1.6</v>
      </c>
      <c r="D6" s="33">
        <v>6.5</v>
      </c>
      <c r="E6" s="33" t="s">
        <v>12</v>
      </c>
      <c r="F6" s="33"/>
      <c r="G6" s="76" t="str">
        <f t="shared" si="0"/>
        <v>niet vastgesteld</v>
      </c>
      <c r="H6" s="77" t="e">
        <f t="shared" si="1"/>
        <v>#VALUE!</v>
      </c>
      <c r="I6" s="33">
        <v>129.2</v>
      </c>
      <c r="J6" s="61"/>
      <c r="K6" s="72">
        <v>20</v>
      </c>
      <c r="L6" s="64" t="s">
        <v>27</v>
      </c>
      <c r="M6" s="73"/>
    </row>
    <row r="7" spans="1:13" ht="12.75">
      <c r="A7" s="32">
        <v>6</v>
      </c>
      <c r="B7" s="33" t="s">
        <v>48</v>
      </c>
      <c r="C7" s="33">
        <v>0.7</v>
      </c>
      <c r="D7" s="33">
        <v>7.2</v>
      </c>
      <c r="E7" s="33" t="s">
        <v>12</v>
      </c>
      <c r="F7" s="33"/>
      <c r="G7" s="76" t="str">
        <f t="shared" si="0"/>
        <v>niet vastgesteld</v>
      </c>
      <c r="H7" s="77" t="e">
        <f t="shared" si="1"/>
        <v>#VALUE!</v>
      </c>
      <c r="I7" s="33">
        <v>146.2</v>
      </c>
      <c r="J7" s="61"/>
      <c r="K7" s="68">
        <f>K6+273</f>
        <v>293</v>
      </c>
      <c r="L7" s="74" t="s">
        <v>37</v>
      </c>
      <c r="M7" s="75"/>
    </row>
    <row r="8" spans="1:10" ht="12.75">
      <c r="A8" s="32">
        <v>7</v>
      </c>
      <c r="B8" s="34" t="s">
        <v>13</v>
      </c>
      <c r="C8" s="33">
        <v>6.2</v>
      </c>
      <c r="D8" s="33">
        <v>16</v>
      </c>
      <c r="E8" s="33">
        <v>1.5</v>
      </c>
      <c r="F8" s="33"/>
      <c r="G8" s="76">
        <f t="shared" si="0"/>
        <v>1.5</v>
      </c>
      <c r="H8" s="76">
        <f t="shared" si="1"/>
        <v>6.176941126279864</v>
      </c>
      <c r="I8" s="33">
        <v>99</v>
      </c>
      <c r="J8" s="61"/>
    </row>
    <row r="9" spans="1:10" ht="12.75">
      <c r="A9" s="32">
        <v>8</v>
      </c>
      <c r="B9" s="34" t="s">
        <v>14</v>
      </c>
      <c r="C9" s="33">
        <v>3.6</v>
      </c>
      <c r="D9" s="33">
        <v>31</v>
      </c>
      <c r="E9" s="33">
        <v>3</v>
      </c>
      <c r="F9" s="33"/>
      <c r="G9" s="76">
        <f t="shared" si="0"/>
        <v>3</v>
      </c>
      <c r="H9" s="76">
        <f t="shared" si="1"/>
        <v>7.799168088737202</v>
      </c>
      <c r="I9" s="33">
        <v>62.5</v>
      </c>
      <c r="J9" s="61"/>
    </row>
    <row r="10" spans="1:10" ht="12.75">
      <c r="A10" s="32">
        <v>9</v>
      </c>
      <c r="B10" s="34" t="s">
        <v>49</v>
      </c>
      <c r="C10" s="33">
        <v>5</v>
      </c>
      <c r="D10" s="33">
        <v>15.8</v>
      </c>
      <c r="E10" s="33" t="s">
        <v>12</v>
      </c>
      <c r="F10" s="33"/>
      <c r="G10" s="76" t="str">
        <f t="shared" si="0"/>
        <v>niet vastgesteld</v>
      </c>
      <c r="H10" s="77" t="e">
        <f t="shared" si="1"/>
        <v>#VALUE!</v>
      </c>
      <c r="I10" s="33">
        <v>17.4</v>
      </c>
      <c r="J10" s="61"/>
    </row>
    <row r="11" spans="1:10" ht="12.75">
      <c r="A11" s="32">
        <v>10</v>
      </c>
      <c r="B11" s="34" t="s">
        <v>50</v>
      </c>
      <c r="C11" s="33">
        <v>4.4</v>
      </c>
      <c r="D11" s="33">
        <v>16</v>
      </c>
      <c r="E11" s="33" t="s">
        <v>12</v>
      </c>
      <c r="F11" s="33"/>
      <c r="G11" s="76" t="str">
        <f t="shared" si="0"/>
        <v>niet vastgesteld</v>
      </c>
      <c r="H11" s="77" t="e">
        <f t="shared" si="1"/>
        <v>#VALUE!</v>
      </c>
      <c r="I11" s="33">
        <v>16</v>
      </c>
      <c r="J11" s="61"/>
    </row>
    <row r="12" spans="1:19" ht="12.75">
      <c r="A12" s="32">
        <v>11</v>
      </c>
      <c r="B12" s="34" t="s">
        <v>51</v>
      </c>
      <c r="C12" s="33">
        <v>4</v>
      </c>
      <c r="D12" s="33">
        <v>76</v>
      </c>
      <c r="E12" s="33" t="s">
        <v>12</v>
      </c>
      <c r="F12" s="33"/>
      <c r="G12" s="76" t="str">
        <f t="shared" si="0"/>
        <v>niet vastgesteld</v>
      </c>
      <c r="H12" s="77" t="e">
        <f t="shared" si="1"/>
        <v>#VALUE!</v>
      </c>
      <c r="I12" s="33">
        <v>2</v>
      </c>
      <c r="J12" s="61"/>
      <c r="K12" s="61" t="s">
        <v>41</v>
      </c>
      <c r="L12" s="61"/>
      <c r="M12" s="61"/>
      <c r="N12" s="61"/>
      <c r="O12" s="61"/>
      <c r="P12" s="61"/>
      <c r="Q12" s="61"/>
      <c r="R12" s="61"/>
      <c r="S12" s="61"/>
    </row>
    <row r="13" spans="1:19" ht="12.75">
      <c r="A13" s="32">
        <v>12</v>
      </c>
      <c r="B13" s="33" t="s">
        <v>52</v>
      </c>
      <c r="C13" s="33">
        <v>5.5</v>
      </c>
      <c r="D13" s="33">
        <v>44</v>
      </c>
      <c r="E13" s="33">
        <v>200</v>
      </c>
      <c r="F13" s="33"/>
      <c r="G13" s="76">
        <f t="shared" si="0"/>
        <v>200</v>
      </c>
      <c r="H13" s="76">
        <f t="shared" si="1"/>
        <v>266.2116040955632</v>
      </c>
      <c r="I13" s="33">
        <v>32</v>
      </c>
      <c r="J13" s="61"/>
      <c r="K13" s="61"/>
      <c r="L13" s="61"/>
      <c r="M13" s="61"/>
      <c r="N13" s="61"/>
      <c r="O13" s="61"/>
      <c r="P13" s="61"/>
      <c r="Q13" s="61"/>
      <c r="R13" s="61"/>
      <c r="S13" s="61"/>
    </row>
    <row r="14" spans="1:19" ht="12.75">
      <c r="A14" s="32">
        <v>13</v>
      </c>
      <c r="B14" s="34" t="s">
        <v>53</v>
      </c>
      <c r="C14" s="33">
        <v>11</v>
      </c>
      <c r="D14" s="33">
        <v>75</v>
      </c>
      <c r="E14" s="33">
        <v>25</v>
      </c>
      <c r="F14" s="33"/>
      <c r="G14" s="76">
        <f t="shared" si="0"/>
        <v>25</v>
      </c>
      <c r="H14" s="76">
        <f t="shared" si="1"/>
        <v>29.116894197952227</v>
      </c>
      <c r="I14" s="33">
        <v>28</v>
      </c>
      <c r="J14" s="61"/>
      <c r="K14" s="61"/>
      <c r="L14" s="61"/>
      <c r="M14" s="61"/>
      <c r="N14" s="61"/>
      <c r="O14" s="61"/>
      <c r="P14" s="61"/>
      <c r="Q14" s="61"/>
      <c r="R14" s="61"/>
      <c r="S14" s="61"/>
    </row>
    <row r="15" spans="1:20" ht="12.75">
      <c r="A15" s="32">
        <v>14</v>
      </c>
      <c r="B15" s="34" t="s">
        <v>54</v>
      </c>
      <c r="C15" s="33">
        <v>8</v>
      </c>
      <c r="D15" s="33" t="s">
        <v>15</v>
      </c>
      <c r="E15" s="33">
        <v>1</v>
      </c>
      <c r="F15" s="33"/>
      <c r="G15" s="76">
        <f t="shared" si="0"/>
        <v>1</v>
      </c>
      <c r="H15" s="76">
        <f t="shared" si="1"/>
        <v>3.9307807167235502</v>
      </c>
      <c r="I15" s="33">
        <v>94.5</v>
      </c>
      <c r="J15" s="61"/>
      <c r="K15" s="61"/>
      <c r="L15" s="61"/>
      <c r="M15" s="61"/>
      <c r="N15" s="61"/>
      <c r="O15" s="61"/>
      <c r="P15" s="61"/>
      <c r="Q15" s="61"/>
      <c r="R15" s="61"/>
      <c r="S15" s="61"/>
      <c r="T15" s="61"/>
    </row>
    <row r="16" spans="1:20" ht="12.75">
      <c r="A16" s="32">
        <v>15</v>
      </c>
      <c r="B16" s="34" t="s">
        <v>55</v>
      </c>
      <c r="C16" s="33">
        <v>4.9</v>
      </c>
      <c r="D16" s="33">
        <v>20.7</v>
      </c>
      <c r="E16" s="33">
        <v>5</v>
      </c>
      <c r="F16" s="33"/>
      <c r="G16" s="76">
        <f t="shared" si="0"/>
        <v>5</v>
      </c>
      <c r="H16" s="76">
        <f t="shared" si="1"/>
        <v>6.468110068259387</v>
      </c>
      <c r="I16" s="33">
        <v>31.1</v>
      </c>
      <c r="J16" s="61"/>
      <c r="K16" s="61"/>
      <c r="L16" s="61"/>
      <c r="M16" s="61"/>
      <c r="N16" s="61"/>
      <c r="O16" s="61"/>
      <c r="P16" s="61"/>
      <c r="Q16" s="61"/>
      <c r="R16" s="61"/>
      <c r="S16" s="61"/>
      <c r="T16" s="61"/>
    </row>
    <row r="17" spans="1:20" ht="12.75">
      <c r="A17" s="32">
        <v>16</v>
      </c>
      <c r="B17" s="34" t="s">
        <v>56</v>
      </c>
      <c r="C17" s="33">
        <v>2.8</v>
      </c>
      <c r="D17" s="33">
        <v>14.4</v>
      </c>
      <c r="E17" s="33">
        <v>1</v>
      </c>
      <c r="F17" s="33"/>
      <c r="G17" s="76">
        <f t="shared" si="0"/>
        <v>1</v>
      </c>
      <c r="H17" s="76">
        <f t="shared" si="1"/>
        <v>1.8759598976109217</v>
      </c>
      <c r="I17" s="33">
        <v>45.1</v>
      </c>
      <c r="J17" s="61"/>
      <c r="K17" s="61"/>
      <c r="L17" s="61"/>
      <c r="M17" s="61"/>
      <c r="N17" s="61"/>
      <c r="O17" s="61"/>
      <c r="P17" s="61"/>
      <c r="Q17" s="61"/>
      <c r="R17" s="61"/>
      <c r="S17" s="61"/>
      <c r="T17" s="61"/>
    </row>
    <row r="18" spans="1:20" ht="12.75">
      <c r="A18" s="32">
        <v>17</v>
      </c>
      <c r="B18" s="34" t="s">
        <v>57</v>
      </c>
      <c r="C18" s="33">
        <v>2</v>
      </c>
      <c r="D18" s="33">
        <v>16.6</v>
      </c>
      <c r="E18" s="33">
        <v>0.4</v>
      </c>
      <c r="F18" s="33"/>
      <c r="G18" s="76">
        <f t="shared" si="0"/>
        <v>0.4</v>
      </c>
      <c r="H18" s="76">
        <f t="shared" si="1"/>
        <v>0.9833191126279867</v>
      </c>
      <c r="I18" s="33">
        <v>59.1</v>
      </c>
      <c r="J18" s="61"/>
      <c r="K18" s="61"/>
      <c r="L18" s="61"/>
      <c r="M18" s="61"/>
      <c r="N18" s="61"/>
      <c r="O18" s="61"/>
      <c r="P18" s="61"/>
      <c r="Q18" s="61"/>
      <c r="R18" s="61"/>
      <c r="S18" s="61"/>
      <c r="T18" s="61"/>
    </row>
    <row r="19" spans="1:20" ht="12.75">
      <c r="A19" s="32">
        <v>18</v>
      </c>
      <c r="B19" s="34" t="s">
        <v>58</v>
      </c>
      <c r="C19" s="33">
        <v>2.6</v>
      </c>
      <c r="D19" s="33">
        <v>100</v>
      </c>
      <c r="E19" s="33">
        <v>0.5</v>
      </c>
      <c r="F19" s="33"/>
      <c r="G19" s="76">
        <f t="shared" si="0"/>
        <v>0.5</v>
      </c>
      <c r="H19" s="76">
        <f t="shared" si="1"/>
        <v>0.9171821672354951</v>
      </c>
      <c r="I19" s="33">
        <v>44.1</v>
      </c>
      <c r="J19" s="61"/>
      <c r="K19" s="61"/>
      <c r="L19" s="61"/>
      <c r="M19" s="61"/>
      <c r="N19" s="61"/>
      <c r="O19" s="61"/>
      <c r="P19" s="61"/>
      <c r="Q19" s="61"/>
      <c r="R19" s="61"/>
      <c r="S19" s="61"/>
      <c r="T19" s="61"/>
    </row>
    <row r="20" spans="1:20" ht="12.75">
      <c r="A20" s="32">
        <v>19</v>
      </c>
      <c r="B20" s="34" t="s">
        <v>59</v>
      </c>
      <c r="C20" s="33">
        <v>1.2</v>
      </c>
      <c r="D20" s="33">
        <v>11</v>
      </c>
      <c r="E20" s="33">
        <v>0.25</v>
      </c>
      <c r="F20" s="33"/>
      <c r="G20" s="76">
        <f t="shared" si="0"/>
        <v>0.25</v>
      </c>
      <c r="H20" s="76">
        <f t="shared" si="1"/>
        <v>0.9681367320819113</v>
      </c>
      <c r="I20" s="33">
        <v>93.1</v>
      </c>
      <c r="J20" s="61"/>
      <c r="K20" s="62"/>
      <c r="L20" s="61"/>
      <c r="M20" s="61"/>
      <c r="N20" s="61"/>
      <c r="O20" s="61"/>
      <c r="P20" s="61"/>
      <c r="Q20" s="61"/>
      <c r="R20" s="61"/>
      <c r="S20" s="61"/>
      <c r="T20" s="61"/>
    </row>
    <row r="21" spans="1:20" ht="12.75">
      <c r="A21" s="32">
        <v>20</v>
      </c>
      <c r="B21" s="34" t="s">
        <v>60</v>
      </c>
      <c r="C21" s="33">
        <v>1.1</v>
      </c>
      <c r="D21" s="33">
        <v>7</v>
      </c>
      <c r="E21" s="33"/>
      <c r="F21" s="33">
        <v>210</v>
      </c>
      <c r="G21" s="76">
        <f t="shared" si="0"/>
        <v>47.53875126756482</v>
      </c>
      <c r="H21" s="77">
        <f t="shared" si="1"/>
        <v>210</v>
      </c>
      <c r="I21" s="33">
        <v>106.2</v>
      </c>
      <c r="J21" s="61"/>
      <c r="K21" s="61"/>
      <c r="L21" s="61"/>
      <c r="M21" s="61"/>
      <c r="N21" s="61"/>
      <c r="O21" s="61"/>
      <c r="P21" s="61"/>
      <c r="Q21" s="61"/>
      <c r="R21" s="61"/>
      <c r="S21" s="61"/>
      <c r="T21" s="61"/>
    </row>
    <row r="22" spans="1:20" ht="12.75">
      <c r="A22" s="32">
        <v>21</v>
      </c>
      <c r="B22" s="34" t="s">
        <v>61</v>
      </c>
      <c r="C22" s="33">
        <v>2.3</v>
      </c>
      <c r="D22" s="33">
        <v>80</v>
      </c>
      <c r="E22" s="33" t="s">
        <v>12</v>
      </c>
      <c r="F22" s="33"/>
      <c r="G22" s="76" t="str">
        <f t="shared" si="0"/>
        <v>niet vastgesteld</v>
      </c>
      <c r="H22" s="77" t="e">
        <f t="shared" si="1"/>
        <v>#VALUE!</v>
      </c>
      <c r="I22" s="33">
        <v>26</v>
      </c>
      <c r="J22" s="61"/>
      <c r="K22" s="61"/>
      <c r="L22" s="67"/>
      <c r="M22" s="62"/>
      <c r="N22" s="61"/>
      <c r="O22" s="61"/>
      <c r="P22" s="61"/>
      <c r="Q22" s="61"/>
      <c r="R22" s="61"/>
      <c r="S22" s="61"/>
      <c r="T22" s="61"/>
    </row>
    <row r="23" spans="1:20" ht="12.75">
      <c r="A23" s="32">
        <v>22</v>
      </c>
      <c r="B23" s="33" t="s">
        <v>62</v>
      </c>
      <c r="C23" s="33">
        <v>4</v>
      </c>
      <c r="D23" s="33">
        <v>46</v>
      </c>
      <c r="E23" s="33">
        <v>10</v>
      </c>
      <c r="F23" s="33"/>
      <c r="G23" s="76">
        <f t="shared" si="0"/>
        <v>10</v>
      </c>
      <c r="H23" s="77">
        <f t="shared" si="1"/>
        <v>14.184087030716725</v>
      </c>
      <c r="I23" s="33">
        <v>34.1</v>
      </c>
      <c r="J23" s="61"/>
      <c r="K23" s="61"/>
      <c r="L23" s="61"/>
      <c r="M23" s="61"/>
      <c r="N23" s="61"/>
      <c r="O23" s="61"/>
      <c r="P23" s="61"/>
      <c r="Q23" s="61"/>
      <c r="R23" s="61"/>
      <c r="S23" s="61"/>
      <c r="T23" s="61"/>
    </row>
    <row r="24" spans="1:20" ht="12.75">
      <c r="A24" s="32">
        <v>23</v>
      </c>
      <c r="B24" s="34" t="s">
        <v>63</v>
      </c>
      <c r="C24" s="33">
        <v>2.3</v>
      </c>
      <c r="D24" s="33">
        <v>13</v>
      </c>
      <c r="E24" s="33">
        <v>750</v>
      </c>
      <c r="F24" s="33">
        <v>1780</v>
      </c>
      <c r="G24" s="76">
        <f t="shared" si="0"/>
        <v>750</v>
      </c>
      <c r="H24" s="77">
        <f t="shared" si="1"/>
        <v>1780</v>
      </c>
      <c r="I24" s="33">
        <v>58.1</v>
      </c>
      <c r="J24" s="61"/>
      <c r="K24" s="61"/>
      <c r="L24" s="61"/>
      <c r="M24" s="61"/>
      <c r="N24" s="61"/>
      <c r="O24" s="61"/>
      <c r="P24" s="61"/>
      <c r="Q24" s="61"/>
      <c r="R24" s="61"/>
      <c r="S24" s="61"/>
      <c r="T24" s="61"/>
    </row>
    <row r="25" spans="1:20" ht="12.75">
      <c r="A25" s="32">
        <v>24</v>
      </c>
      <c r="B25" s="34" t="s">
        <v>64</v>
      </c>
      <c r="C25" s="33">
        <v>0.9</v>
      </c>
      <c r="D25" s="33">
        <v>8</v>
      </c>
      <c r="E25" s="33">
        <v>25</v>
      </c>
      <c r="F25" s="33">
        <v>107</v>
      </c>
      <c r="G25" s="76">
        <f t="shared" si="0"/>
        <v>25</v>
      </c>
      <c r="H25" s="77">
        <f t="shared" si="1"/>
        <v>107</v>
      </c>
      <c r="I25" s="33">
        <v>104.2</v>
      </c>
      <c r="J25" s="61"/>
      <c r="K25" s="61"/>
      <c r="L25" s="61"/>
      <c r="M25" s="61"/>
      <c r="N25" s="61"/>
      <c r="O25" s="61"/>
      <c r="P25" s="61"/>
      <c r="Q25" s="61"/>
      <c r="R25" s="61"/>
      <c r="S25" s="61"/>
      <c r="T25" s="61"/>
    </row>
    <row r="26" spans="1:20" ht="12.75">
      <c r="A26" s="32">
        <v>25</v>
      </c>
      <c r="B26" s="33"/>
      <c r="C26" s="33"/>
      <c r="D26" s="33"/>
      <c r="E26" s="33"/>
      <c r="F26" s="33"/>
      <c r="G26" s="76" t="e">
        <f t="shared" si="0"/>
        <v>#DIV/0!</v>
      </c>
      <c r="H26" s="77">
        <f t="shared" si="1"/>
        <v>0</v>
      </c>
      <c r="I26" s="33"/>
      <c r="J26" s="61"/>
      <c r="K26" s="62"/>
      <c r="L26" s="61"/>
      <c r="M26" s="61"/>
      <c r="N26" s="61"/>
      <c r="O26" s="61"/>
      <c r="P26" s="61"/>
      <c r="Q26" s="61"/>
      <c r="R26" s="61"/>
      <c r="S26" s="61"/>
      <c r="T26" s="61"/>
    </row>
    <row r="27" spans="1:20" ht="12.75">
      <c r="A27" s="32">
        <v>26</v>
      </c>
      <c r="B27" s="33"/>
      <c r="C27" s="33"/>
      <c r="D27" s="33"/>
      <c r="E27" s="33"/>
      <c r="F27" s="33"/>
      <c r="G27" s="76" t="e">
        <f t="shared" si="0"/>
        <v>#DIV/0!</v>
      </c>
      <c r="H27" s="77">
        <f t="shared" si="1"/>
        <v>0</v>
      </c>
      <c r="I27" s="33"/>
      <c r="J27" s="61"/>
      <c r="K27" s="61"/>
      <c r="L27" s="61"/>
      <c r="M27" s="61"/>
      <c r="N27" s="61"/>
      <c r="O27" s="61"/>
      <c r="P27" s="61"/>
      <c r="Q27" s="61"/>
      <c r="R27" s="61"/>
      <c r="S27" s="61"/>
      <c r="T27" s="61"/>
    </row>
    <row r="28" spans="1:20" ht="12.75">
      <c r="A28" s="32">
        <v>27</v>
      </c>
      <c r="B28" s="33"/>
      <c r="C28" s="33"/>
      <c r="D28" s="33"/>
      <c r="E28" s="33"/>
      <c r="F28" s="33"/>
      <c r="G28" s="76" t="e">
        <f t="shared" si="0"/>
        <v>#DIV/0!</v>
      </c>
      <c r="H28" s="77">
        <f t="shared" si="1"/>
        <v>0</v>
      </c>
      <c r="I28" s="33"/>
      <c r="J28" s="61"/>
      <c r="K28" s="61"/>
      <c r="L28" s="61"/>
      <c r="M28" s="62"/>
      <c r="N28" s="61"/>
      <c r="O28" s="61"/>
      <c r="P28" s="61"/>
      <c r="Q28" s="61"/>
      <c r="R28" s="61"/>
      <c r="S28" s="61"/>
      <c r="T28" s="61"/>
    </row>
    <row r="29" spans="1:20" ht="12.75">
      <c r="A29" s="32">
        <v>28</v>
      </c>
      <c r="B29" s="33"/>
      <c r="C29" s="33"/>
      <c r="D29" s="33"/>
      <c r="E29" s="33"/>
      <c r="F29" s="33"/>
      <c r="G29" s="76" t="e">
        <f t="shared" si="0"/>
        <v>#DIV/0!</v>
      </c>
      <c r="H29" s="77">
        <f t="shared" si="1"/>
        <v>0</v>
      </c>
      <c r="I29" s="33"/>
      <c r="J29" s="61"/>
      <c r="K29" s="61"/>
      <c r="L29" s="61"/>
      <c r="M29" s="61"/>
      <c r="N29" s="61"/>
      <c r="O29" s="61"/>
      <c r="P29" s="61"/>
      <c r="Q29" s="61"/>
      <c r="R29" s="61"/>
      <c r="S29" s="61"/>
      <c r="T29" s="61"/>
    </row>
    <row r="30" spans="1:20" ht="12.75">
      <c r="A30" s="32">
        <v>29</v>
      </c>
      <c r="B30" s="33"/>
      <c r="C30" s="33"/>
      <c r="D30" s="33"/>
      <c r="E30" s="33"/>
      <c r="F30" s="33"/>
      <c r="G30" s="76" t="e">
        <f t="shared" si="0"/>
        <v>#DIV/0!</v>
      </c>
      <c r="H30" s="77">
        <f t="shared" si="1"/>
        <v>0</v>
      </c>
      <c r="I30" s="33"/>
      <c r="J30" s="61"/>
      <c r="K30" s="61"/>
      <c r="L30" s="61"/>
      <c r="M30" s="61"/>
      <c r="N30" s="61"/>
      <c r="O30" s="61"/>
      <c r="P30" s="61"/>
      <c r="Q30" s="61"/>
      <c r="R30" s="61"/>
      <c r="S30" s="61"/>
      <c r="T30" s="61"/>
    </row>
    <row r="31" spans="1:10" ht="12.75">
      <c r="A31" s="32">
        <v>30</v>
      </c>
      <c r="B31" s="33"/>
      <c r="C31" s="33"/>
      <c r="D31" s="33"/>
      <c r="E31" s="33"/>
      <c r="F31" s="33"/>
      <c r="G31" s="76" t="e">
        <f t="shared" si="0"/>
        <v>#DIV/0!</v>
      </c>
      <c r="H31" s="77">
        <f t="shared" si="1"/>
        <v>0</v>
      </c>
      <c r="I31" s="33"/>
      <c r="J31" s="61"/>
    </row>
    <row r="32" spans="1:10" ht="12.75">
      <c r="A32" s="32">
        <v>31</v>
      </c>
      <c r="B32" s="33"/>
      <c r="C32" s="33"/>
      <c r="D32" s="33"/>
      <c r="E32" s="33"/>
      <c r="F32" s="33"/>
      <c r="G32" s="76" t="e">
        <f t="shared" si="0"/>
        <v>#DIV/0!</v>
      </c>
      <c r="H32" s="77">
        <f t="shared" si="1"/>
        <v>0</v>
      </c>
      <c r="I32" s="33"/>
      <c r="J32" s="61"/>
    </row>
    <row r="33" spans="1:10" ht="12.75">
      <c r="A33" s="32">
        <v>32</v>
      </c>
      <c r="B33" s="33"/>
      <c r="C33" s="33"/>
      <c r="D33" s="33"/>
      <c r="E33" s="33"/>
      <c r="F33" s="33"/>
      <c r="G33" s="76" t="e">
        <f t="shared" si="0"/>
        <v>#DIV/0!</v>
      </c>
      <c r="H33" s="77">
        <f t="shared" si="1"/>
        <v>0</v>
      </c>
      <c r="I33" s="33"/>
      <c r="J33" s="61"/>
    </row>
    <row r="34" spans="1:10" ht="12.75">
      <c r="A34" s="32">
        <v>33</v>
      </c>
      <c r="B34" s="33"/>
      <c r="C34" s="33"/>
      <c r="D34" s="33"/>
      <c r="E34" s="33"/>
      <c r="F34" s="33"/>
      <c r="G34" s="76" t="e">
        <f aca="true" t="shared" si="2" ref="G34:G51">IF(E34&gt;0,E34,(($K$7/273)*22.4)/I34*F34)</f>
        <v>#DIV/0!</v>
      </c>
      <c r="H34" s="77">
        <f aca="true" t="shared" si="3" ref="H34:H51">IF(F34&gt;0,F34,E34*(I34/($K$7/273*22.4)))</f>
        <v>0</v>
      </c>
      <c r="I34" s="33"/>
      <c r="J34" s="61"/>
    </row>
    <row r="35" spans="1:10" ht="12.75">
      <c r="A35" s="32">
        <v>34</v>
      </c>
      <c r="B35" s="33"/>
      <c r="C35" s="33"/>
      <c r="D35" s="33"/>
      <c r="E35" s="33"/>
      <c r="F35" s="33"/>
      <c r="G35" s="76" t="e">
        <f t="shared" si="2"/>
        <v>#DIV/0!</v>
      </c>
      <c r="H35" s="77">
        <f t="shared" si="3"/>
        <v>0</v>
      </c>
      <c r="I35" s="33"/>
      <c r="J35" s="61"/>
    </row>
    <row r="36" spans="1:10" ht="12.75">
      <c r="A36" s="32">
        <v>35</v>
      </c>
      <c r="B36" s="33"/>
      <c r="C36" s="33"/>
      <c r="D36" s="33"/>
      <c r="E36" s="33"/>
      <c r="F36" s="33"/>
      <c r="G36" s="76" t="e">
        <f t="shared" si="2"/>
        <v>#DIV/0!</v>
      </c>
      <c r="H36" s="77">
        <f t="shared" si="3"/>
        <v>0</v>
      </c>
      <c r="I36" s="33"/>
      <c r="J36" s="61"/>
    </row>
    <row r="37" spans="1:10" ht="12.75">
      <c r="A37" s="32">
        <v>36</v>
      </c>
      <c r="B37" s="33"/>
      <c r="C37" s="33"/>
      <c r="D37" s="33"/>
      <c r="E37" s="33"/>
      <c r="F37" s="33"/>
      <c r="G37" s="76" t="e">
        <f t="shared" si="2"/>
        <v>#DIV/0!</v>
      </c>
      <c r="H37" s="77">
        <f t="shared" si="3"/>
        <v>0</v>
      </c>
      <c r="I37" s="33"/>
      <c r="J37" s="61"/>
    </row>
    <row r="38" spans="1:10" ht="12.75">
      <c r="A38" s="32">
        <v>37</v>
      </c>
      <c r="B38" s="33"/>
      <c r="C38" s="33"/>
      <c r="D38" s="33"/>
      <c r="E38" s="33"/>
      <c r="F38" s="33"/>
      <c r="G38" s="76" t="e">
        <f t="shared" si="2"/>
        <v>#DIV/0!</v>
      </c>
      <c r="H38" s="77">
        <f t="shared" si="3"/>
        <v>0</v>
      </c>
      <c r="I38" s="33"/>
      <c r="J38" s="61"/>
    </row>
    <row r="39" spans="1:10" ht="12.75">
      <c r="A39" s="32">
        <v>38</v>
      </c>
      <c r="B39" s="33"/>
      <c r="C39" s="33"/>
      <c r="D39" s="33"/>
      <c r="E39" s="33"/>
      <c r="F39" s="33"/>
      <c r="G39" s="76" t="e">
        <f t="shared" si="2"/>
        <v>#DIV/0!</v>
      </c>
      <c r="H39" s="77">
        <f t="shared" si="3"/>
        <v>0</v>
      </c>
      <c r="I39" s="33"/>
      <c r="J39" s="61"/>
    </row>
    <row r="40" spans="1:10" ht="12.75">
      <c r="A40" s="32">
        <v>39</v>
      </c>
      <c r="B40" s="33"/>
      <c r="C40" s="33"/>
      <c r="D40" s="33"/>
      <c r="E40" s="33"/>
      <c r="F40" s="33"/>
      <c r="G40" s="76" t="e">
        <f t="shared" si="2"/>
        <v>#DIV/0!</v>
      </c>
      <c r="H40" s="77">
        <f t="shared" si="3"/>
        <v>0</v>
      </c>
      <c r="I40" s="33"/>
      <c r="J40" s="61"/>
    </row>
    <row r="41" spans="1:10" ht="12.75">
      <c r="A41" s="32">
        <v>40</v>
      </c>
      <c r="B41" s="33"/>
      <c r="C41" s="33"/>
      <c r="D41" s="33"/>
      <c r="E41" s="33"/>
      <c r="F41" s="33"/>
      <c r="G41" s="76" t="e">
        <f t="shared" si="2"/>
        <v>#DIV/0!</v>
      </c>
      <c r="H41" s="77">
        <f t="shared" si="3"/>
        <v>0</v>
      </c>
      <c r="I41" s="33"/>
      <c r="J41" s="61"/>
    </row>
    <row r="42" spans="1:10" ht="12.75">
      <c r="A42" s="32">
        <v>41</v>
      </c>
      <c r="B42" s="33"/>
      <c r="C42" s="33"/>
      <c r="D42" s="33"/>
      <c r="E42" s="33"/>
      <c r="F42" s="33"/>
      <c r="G42" s="76" t="e">
        <f t="shared" si="2"/>
        <v>#DIV/0!</v>
      </c>
      <c r="H42" s="77">
        <f t="shared" si="3"/>
        <v>0</v>
      </c>
      <c r="I42" s="33"/>
      <c r="J42" s="61"/>
    </row>
    <row r="43" spans="1:10" ht="12.75">
      <c r="A43" s="32">
        <v>42</v>
      </c>
      <c r="B43" s="33"/>
      <c r="C43" s="33"/>
      <c r="D43" s="33"/>
      <c r="E43" s="33"/>
      <c r="F43" s="33"/>
      <c r="G43" s="76" t="e">
        <f t="shared" si="2"/>
        <v>#DIV/0!</v>
      </c>
      <c r="H43" s="77">
        <f t="shared" si="3"/>
        <v>0</v>
      </c>
      <c r="I43" s="33"/>
      <c r="J43" s="61"/>
    </row>
    <row r="44" spans="1:10" ht="12.75">
      <c r="A44" s="32">
        <v>43</v>
      </c>
      <c r="B44" s="33"/>
      <c r="C44" s="33"/>
      <c r="D44" s="33"/>
      <c r="E44" s="33"/>
      <c r="F44" s="33"/>
      <c r="G44" s="76" t="e">
        <f t="shared" si="2"/>
        <v>#DIV/0!</v>
      </c>
      <c r="H44" s="77">
        <f t="shared" si="3"/>
        <v>0</v>
      </c>
      <c r="I44" s="33"/>
      <c r="J44" s="61"/>
    </row>
    <row r="45" spans="1:10" ht="12.75">
      <c r="A45" s="32">
        <v>44</v>
      </c>
      <c r="B45" s="33"/>
      <c r="C45" s="33"/>
      <c r="D45" s="33"/>
      <c r="E45" s="33"/>
      <c r="F45" s="33"/>
      <c r="G45" s="76" t="e">
        <f t="shared" si="2"/>
        <v>#DIV/0!</v>
      </c>
      <c r="H45" s="77">
        <f t="shared" si="3"/>
        <v>0</v>
      </c>
      <c r="I45" s="33"/>
      <c r="J45" s="61"/>
    </row>
    <row r="46" spans="1:10" ht="12.75">
      <c r="A46" s="32">
        <v>45</v>
      </c>
      <c r="B46" s="33"/>
      <c r="C46" s="33"/>
      <c r="D46" s="33"/>
      <c r="E46" s="33"/>
      <c r="F46" s="33"/>
      <c r="G46" s="76" t="e">
        <f t="shared" si="2"/>
        <v>#DIV/0!</v>
      </c>
      <c r="H46" s="77">
        <f t="shared" si="3"/>
        <v>0</v>
      </c>
      <c r="I46" s="33"/>
      <c r="J46" s="61"/>
    </row>
    <row r="47" spans="1:10" ht="12.75">
      <c r="A47" s="32">
        <v>46</v>
      </c>
      <c r="B47" s="34"/>
      <c r="C47" s="33"/>
      <c r="D47" s="33"/>
      <c r="E47" s="33"/>
      <c r="F47" s="33"/>
      <c r="G47" s="76" t="e">
        <f t="shared" si="2"/>
        <v>#DIV/0!</v>
      </c>
      <c r="H47" s="77">
        <f t="shared" si="3"/>
        <v>0</v>
      </c>
      <c r="I47" s="33"/>
      <c r="J47" s="61"/>
    </row>
    <row r="48" spans="1:10" ht="12.75">
      <c r="A48" s="32">
        <v>47</v>
      </c>
      <c r="B48" s="34"/>
      <c r="C48" s="33"/>
      <c r="D48" s="33"/>
      <c r="E48" s="33"/>
      <c r="F48" s="33"/>
      <c r="G48" s="76" t="e">
        <f t="shared" si="2"/>
        <v>#DIV/0!</v>
      </c>
      <c r="H48" s="77">
        <f t="shared" si="3"/>
        <v>0</v>
      </c>
      <c r="I48" s="33"/>
      <c r="J48" s="61"/>
    </row>
    <row r="49" spans="1:10" ht="12.75">
      <c r="A49" s="32">
        <v>48</v>
      </c>
      <c r="B49" s="33"/>
      <c r="C49" s="35"/>
      <c r="D49" s="35"/>
      <c r="E49" s="33"/>
      <c r="F49" s="33"/>
      <c r="G49" s="76" t="e">
        <f t="shared" si="2"/>
        <v>#DIV/0!</v>
      </c>
      <c r="H49" s="77">
        <f t="shared" si="3"/>
        <v>0</v>
      </c>
      <c r="I49" s="33"/>
      <c r="J49" s="61"/>
    </row>
    <row r="50" spans="1:10" ht="12.75">
      <c r="A50" s="32">
        <v>49</v>
      </c>
      <c r="B50" s="36"/>
      <c r="C50" s="35"/>
      <c r="D50" s="35"/>
      <c r="E50" s="33"/>
      <c r="F50" s="33"/>
      <c r="G50" s="76" t="e">
        <f t="shared" si="2"/>
        <v>#DIV/0!</v>
      </c>
      <c r="H50" s="77">
        <f t="shared" si="3"/>
        <v>0</v>
      </c>
      <c r="I50" s="33"/>
      <c r="J50" s="61"/>
    </row>
    <row r="51" spans="1:10" ht="12.75">
      <c r="A51" s="32">
        <v>50</v>
      </c>
      <c r="B51" s="36"/>
      <c r="C51" s="35"/>
      <c r="D51" s="35"/>
      <c r="E51" s="33"/>
      <c r="F51" s="33"/>
      <c r="G51" s="76" t="e">
        <f t="shared" si="2"/>
        <v>#DIV/0!</v>
      </c>
      <c r="H51" s="77">
        <f t="shared" si="3"/>
        <v>0</v>
      </c>
      <c r="I51" s="33"/>
      <c r="J51" s="61"/>
    </row>
  </sheetData>
  <sheetProtection password="CE26" sheet="1" objects="1" scenarios="1"/>
  <printOptions/>
  <pageMargins left="0.75" right="0.75" top="1" bottom="1" header="0.5" footer="0.5"/>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J.Warta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J.Warta</dc:creator>
  <cp:keywords/>
  <dc:description/>
  <cp:lastModifiedBy>Johan Warta</cp:lastModifiedBy>
  <cp:lastPrinted>2005-03-06T11:53:25Z</cp:lastPrinted>
  <dcterms:created xsi:type="dcterms:W3CDTF">2005-02-24T17:27:07Z</dcterms:created>
  <dcterms:modified xsi:type="dcterms:W3CDTF">2011-02-28T19:03:06Z</dcterms:modified>
  <cp:category/>
  <cp:version/>
  <cp:contentType/>
  <cp:contentStatus/>
</cp:coreProperties>
</file>